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oogle Drive\ΣΠΗΕΦ Ηρακλείου Λασιθίου\Τεχνική Έκθεση - Πρόταση ΜΔΝ\"/>
    </mc:Choice>
  </mc:AlternateContent>
  <bookViews>
    <workbookView xWindow="4650" yWindow="0" windowWidth="20550" windowHeight="12570" activeTab="2"/>
  </bookViews>
  <sheets>
    <sheet name="Ταρίφες Εξέλιξη" sheetId="8" r:id="rId1"/>
    <sheet name="Κόστος Κατασκευής" sheetId="1" r:id="rId2"/>
    <sheet name="Παραγωγές" sheetId="7" r:id="rId3"/>
    <sheet name="Ταρίφες" sheetId="2" r:id="rId4"/>
    <sheet name="IRR ΔΣ Ισχύον" sheetId="5" r:id="rId5"/>
    <sheet name="IRR ΜΔΝ Ισχύον" sheetId="3" r:id="rId6"/>
    <sheet name="IRR ΜΔΝ Πρόταση" sheetId="6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" i="8" l="1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6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Q8" i="8"/>
  <c r="Q7" i="8"/>
  <c r="Q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6" i="8"/>
  <c r="K17" i="8"/>
  <c r="K18" i="8"/>
  <c r="K19" i="8"/>
  <c r="K20" i="8"/>
  <c r="K21" i="8"/>
  <c r="K22" i="8"/>
  <c r="K7" i="8"/>
  <c r="K8" i="8"/>
  <c r="K9" i="8"/>
  <c r="K10" i="8"/>
  <c r="K11" i="8"/>
  <c r="K12" i="8"/>
  <c r="K13" i="8"/>
  <c r="K14" i="8"/>
  <c r="K15" i="8"/>
  <c r="K16" i="8"/>
  <c r="K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6" i="8"/>
  <c r="P284" i="5" l="1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7" i="5"/>
  <c r="P246" i="5"/>
  <c r="P245" i="5"/>
  <c r="P244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39" i="5"/>
  <c r="P140" i="5"/>
  <c r="P141" i="5"/>
  <c r="P142" i="5"/>
  <c r="P143" i="5"/>
  <c r="P144" i="5"/>
  <c r="P145" i="5"/>
  <c r="P146" i="5"/>
  <c r="P147" i="5"/>
  <c r="P148" i="5"/>
  <c r="P149" i="5"/>
  <c r="P150" i="5"/>
  <c r="P151" i="5"/>
  <c r="P152" i="5"/>
  <c r="P153" i="5"/>
  <c r="P154" i="5"/>
  <c r="P155" i="5"/>
  <c r="P156" i="5"/>
  <c r="P157" i="5"/>
  <c r="P158" i="5"/>
  <c r="P160" i="5"/>
  <c r="P161" i="5"/>
  <c r="P162" i="5"/>
  <c r="P163" i="5"/>
  <c r="P164" i="5"/>
  <c r="P165" i="5"/>
  <c r="P166" i="5"/>
  <c r="P167" i="5"/>
  <c r="P168" i="5"/>
  <c r="P169" i="5"/>
  <c r="P170" i="5"/>
  <c r="P171" i="5"/>
  <c r="P172" i="5"/>
  <c r="P173" i="5"/>
  <c r="P174" i="5"/>
  <c r="P175" i="5"/>
  <c r="P176" i="5"/>
  <c r="P177" i="5"/>
  <c r="P178" i="5"/>
  <c r="P179" i="5"/>
  <c r="P284" i="6"/>
  <c r="P283" i="6"/>
  <c r="P282" i="6"/>
  <c r="P281" i="6"/>
  <c r="P280" i="6"/>
  <c r="P279" i="6"/>
  <c r="P278" i="6"/>
  <c r="P277" i="6"/>
  <c r="P276" i="6"/>
  <c r="P275" i="6"/>
  <c r="P274" i="6"/>
  <c r="P273" i="6"/>
  <c r="P272" i="6"/>
  <c r="P271" i="6"/>
  <c r="P270" i="6"/>
  <c r="P269" i="6"/>
  <c r="P268" i="6"/>
  <c r="P267" i="6"/>
  <c r="P266" i="6"/>
  <c r="P265" i="6"/>
  <c r="P263" i="6"/>
  <c r="P262" i="6"/>
  <c r="P261" i="6"/>
  <c r="P260" i="6"/>
  <c r="P259" i="6"/>
  <c r="P258" i="6"/>
  <c r="P257" i="6"/>
  <c r="P256" i="6"/>
  <c r="P255" i="6"/>
  <c r="P254" i="6"/>
  <c r="P253" i="6"/>
  <c r="P252" i="6"/>
  <c r="P251" i="6"/>
  <c r="P250" i="6"/>
  <c r="P249" i="6"/>
  <c r="P248" i="6"/>
  <c r="P247" i="6"/>
  <c r="P246" i="6"/>
  <c r="P245" i="6"/>
  <c r="P244" i="6"/>
  <c r="P242" i="6"/>
  <c r="P241" i="6"/>
  <c r="P240" i="6"/>
  <c r="P239" i="6"/>
  <c r="P238" i="6"/>
  <c r="P237" i="6"/>
  <c r="P236" i="6"/>
  <c r="P235" i="6"/>
  <c r="P234" i="6"/>
  <c r="P233" i="6"/>
  <c r="P232" i="6"/>
  <c r="P231" i="6"/>
  <c r="P230" i="6"/>
  <c r="P229" i="6"/>
  <c r="P228" i="6"/>
  <c r="P227" i="6"/>
  <c r="P226" i="6"/>
  <c r="P225" i="6"/>
  <c r="P224" i="6"/>
  <c r="P223" i="6"/>
  <c r="P221" i="6"/>
  <c r="P220" i="6"/>
  <c r="P219" i="6"/>
  <c r="P218" i="6"/>
  <c r="P217" i="6"/>
  <c r="P216" i="6"/>
  <c r="P215" i="6"/>
  <c r="P214" i="6"/>
  <c r="P213" i="6"/>
  <c r="P212" i="6"/>
  <c r="P211" i="6"/>
  <c r="P210" i="6"/>
  <c r="P209" i="6"/>
  <c r="P208" i="6"/>
  <c r="P207" i="6"/>
  <c r="P206" i="6"/>
  <c r="P205" i="6"/>
  <c r="P204" i="6"/>
  <c r="P203" i="6"/>
  <c r="P202" i="6"/>
  <c r="P200" i="6"/>
  <c r="P199" i="6"/>
  <c r="P198" i="6"/>
  <c r="P197" i="6"/>
  <c r="P196" i="6"/>
  <c r="P195" i="6"/>
  <c r="P194" i="6"/>
  <c r="P193" i="6"/>
  <c r="P192" i="6"/>
  <c r="P191" i="6"/>
  <c r="P190" i="6"/>
  <c r="P189" i="6"/>
  <c r="P188" i="6"/>
  <c r="P187" i="6"/>
  <c r="P186" i="6"/>
  <c r="P185" i="6"/>
  <c r="P184" i="6"/>
  <c r="P183" i="6"/>
  <c r="P182" i="6"/>
  <c r="P181" i="6"/>
  <c r="P179" i="6"/>
  <c r="P178" i="6"/>
  <c r="P177" i="6"/>
  <c r="P176" i="6"/>
  <c r="P175" i="6"/>
  <c r="P174" i="6"/>
  <c r="P173" i="6"/>
  <c r="P172" i="6"/>
  <c r="P171" i="6"/>
  <c r="P170" i="6"/>
  <c r="P169" i="6"/>
  <c r="P168" i="6"/>
  <c r="P167" i="6"/>
  <c r="P166" i="6"/>
  <c r="P165" i="6"/>
  <c r="P164" i="6"/>
  <c r="P163" i="6"/>
  <c r="P162" i="6"/>
  <c r="P161" i="6"/>
  <c r="P160" i="6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138" i="3"/>
  <c r="AB140" i="3"/>
  <c r="AB142" i="3"/>
  <c r="AB144" i="3"/>
  <c r="AB146" i="3"/>
  <c r="AB148" i="3"/>
  <c r="AB150" i="3"/>
  <c r="AB152" i="3"/>
  <c r="AB154" i="3"/>
  <c r="AB156" i="3"/>
  <c r="AB158" i="3"/>
  <c r="P160" i="3"/>
  <c r="P161" i="3"/>
  <c r="AA161" i="3" s="1"/>
  <c r="P162" i="3"/>
  <c r="P163" i="3"/>
  <c r="AA163" i="3" s="1"/>
  <c r="P164" i="3"/>
  <c r="P165" i="3"/>
  <c r="AA165" i="3" s="1"/>
  <c r="P166" i="3"/>
  <c r="P167" i="3"/>
  <c r="AA167" i="3" s="1"/>
  <c r="P168" i="3"/>
  <c r="P169" i="3"/>
  <c r="AA169" i="3" s="1"/>
  <c r="P170" i="3"/>
  <c r="P171" i="3"/>
  <c r="AA171" i="3" s="1"/>
  <c r="P172" i="3"/>
  <c r="P173" i="3"/>
  <c r="AA173" i="3" s="1"/>
  <c r="P174" i="3"/>
  <c r="P175" i="3"/>
  <c r="AA175" i="3" s="1"/>
  <c r="P176" i="3"/>
  <c r="P177" i="3"/>
  <c r="AA177" i="3" s="1"/>
  <c r="P178" i="3"/>
  <c r="P179" i="3"/>
  <c r="AA179" i="3" s="1"/>
  <c r="P181" i="3"/>
  <c r="AA181" i="3" s="1"/>
  <c r="P182" i="3"/>
  <c r="P183" i="3"/>
  <c r="AA183" i="3" s="1"/>
  <c r="P184" i="3"/>
  <c r="P185" i="3"/>
  <c r="AA185" i="3" s="1"/>
  <c r="P186" i="3"/>
  <c r="P187" i="3"/>
  <c r="AA187" i="3" s="1"/>
  <c r="P188" i="3"/>
  <c r="P189" i="3"/>
  <c r="AA189" i="3" s="1"/>
  <c r="P190" i="3"/>
  <c r="P191" i="3"/>
  <c r="AA191" i="3" s="1"/>
  <c r="P192" i="3"/>
  <c r="P193" i="3"/>
  <c r="AA193" i="3" s="1"/>
  <c r="P194" i="3"/>
  <c r="P195" i="3"/>
  <c r="AA195" i="3" s="1"/>
  <c r="P196" i="3"/>
  <c r="P197" i="3"/>
  <c r="AA197" i="3" s="1"/>
  <c r="P198" i="3"/>
  <c r="P199" i="3"/>
  <c r="AA199" i="3" s="1"/>
  <c r="P200" i="3"/>
  <c r="AA13" i="3"/>
  <c r="AB13" i="3"/>
  <c r="AA14" i="3"/>
  <c r="AB14" i="3"/>
  <c r="AA15" i="3"/>
  <c r="AB15" i="3"/>
  <c r="AA16" i="3"/>
  <c r="AB16" i="3"/>
  <c r="AA17" i="3"/>
  <c r="AB17" i="3"/>
  <c r="AA18" i="3"/>
  <c r="AB18" i="3"/>
  <c r="AA19" i="3"/>
  <c r="AB19" i="3"/>
  <c r="AA20" i="3"/>
  <c r="AB20" i="3"/>
  <c r="AA21" i="3"/>
  <c r="AB21" i="3"/>
  <c r="AA22" i="3"/>
  <c r="AB22" i="3"/>
  <c r="AA23" i="3"/>
  <c r="AB23" i="3"/>
  <c r="AA24" i="3"/>
  <c r="AB24" i="3"/>
  <c r="AA25" i="3"/>
  <c r="AB25" i="3"/>
  <c r="AA26" i="3"/>
  <c r="AB26" i="3"/>
  <c r="AA27" i="3"/>
  <c r="AB27" i="3"/>
  <c r="AA28" i="3"/>
  <c r="AB28" i="3"/>
  <c r="AA29" i="3"/>
  <c r="AB29" i="3"/>
  <c r="AA30" i="3"/>
  <c r="AB30" i="3"/>
  <c r="AA31" i="3"/>
  <c r="AB31" i="3"/>
  <c r="AA32" i="3"/>
  <c r="AB32" i="3"/>
  <c r="AA34" i="3"/>
  <c r="AB34" i="3"/>
  <c r="AA35" i="3"/>
  <c r="AB35" i="3"/>
  <c r="AA36" i="3"/>
  <c r="AB36" i="3"/>
  <c r="AA37" i="3"/>
  <c r="AB37" i="3"/>
  <c r="AA38" i="3"/>
  <c r="AB38" i="3"/>
  <c r="AA39" i="3"/>
  <c r="AB39" i="3"/>
  <c r="AA40" i="3"/>
  <c r="AB40" i="3"/>
  <c r="AA41" i="3"/>
  <c r="AB41" i="3"/>
  <c r="AA42" i="3"/>
  <c r="AB42" i="3"/>
  <c r="AA43" i="3"/>
  <c r="AB43" i="3"/>
  <c r="AA44" i="3"/>
  <c r="AB44" i="3"/>
  <c r="AA45" i="3"/>
  <c r="AB45" i="3"/>
  <c r="AA46" i="3"/>
  <c r="AB46" i="3"/>
  <c r="AA47" i="3"/>
  <c r="AB47" i="3"/>
  <c r="AA48" i="3"/>
  <c r="AB48" i="3"/>
  <c r="AA49" i="3"/>
  <c r="AB49" i="3"/>
  <c r="AA50" i="3"/>
  <c r="AB50" i="3"/>
  <c r="AA51" i="3"/>
  <c r="AB51" i="3"/>
  <c r="AA52" i="3"/>
  <c r="AB52" i="3"/>
  <c r="AA53" i="3"/>
  <c r="AB53" i="3"/>
  <c r="AA55" i="3"/>
  <c r="AB55" i="3"/>
  <c r="AA56" i="3"/>
  <c r="AB56" i="3"/>
  <c r="AA57" i="3"/>
  <c r="AB57" i="3"/>
  <c r="AA58" i="3"/>
  <c r="AB58" i="3"/>
  <c r="AA59" i="3"/>
  <c r="AB59" i="3"/>
  <c r="AA60" i="3"/>
  <c r="AB60" i="3"/>
  <c r="AA61" i="3"/>
  <c r="AB61" i="3"/>
  <c r="AA62" i="3"/>
  <c r="AB62" i="3"/>
  <c r="AA63" i="3"/>
  <c r="AB63" i="3"/>
  <c r="AA64" i="3"/>
  <c r="AB64" i="3"/>
  <c r="AA65" i="3"/>
  <c r="AB65" i="3"/>
  <c r="AA66" i="3"/>
  <c r="AB66" i="3"/>
  <c r="AA67" i="3"/>
  <c r="AB67" i="3"/>
  <c r="AA68" i="3"/>
  <c r="AB68" i="3"/>
  <c r="AA69" i="3"/>
  <c r="AB69" i="3"/>
  <c r="AA70" i="3"/>
  <c r="AB70" i="3"/>
  <c r="AA71" i="3"/>
  <c r="AB71" i="3"/>
  <c r="AA72" i="3"/>
  <c r="AB72" i="3"/>
  <c r="AA73" i="3"/>
  <c r="AB73" i="3"/>
  <c r="AA74" i="3"/>
  <c r="AB74" i="3"/>
  <c r="AA76" i="3"/>
  <c r="AB76" i="3"/>
  <c r="AA77" i="3"/>
  <c r="AB77" i="3"/>
  <c r="AA78" i="3"/>
  <c r="AB78" i="3"/>
  <c r="AA79" i="3"/>
  <c r="AB79" i="3"/>
  <c r="AA80" i="3"/>
  <c r="AB80" i="3"/>
  <c r="AA81" i="3"/>
  <c r="AB81" i="3"/>
  <c r="AA82" i="3"/>
  <c r="AB82" i="3"/>
  <c r="AA83" i="3"/>
  <c r="AB83" i="3"/>
  <c r="AA84" i="3"/>
  <c r="AB84" i="3"/>
  <c r="AA85" i="3"/>
  <c r="AB85" i="3"/>
  <c r="AA86" i="3"/>
  <c r="AB86" i="3"/>
  <c r="AA87" i="3"/>
  <c r="AB87" i="3"/>
  <c r="AA88" i="3"/>
  <c r="AB88" i="3"/>
  <c r="AA89" i="3"/>
  <c r="AB89" i="3"/>
  <c r="AA90" i="3"/>
  <c r="AB90" i="3"/>
  <c r="AA91" i="3"/>
  <c r="AB91" i="3"/>
  <c r="AA92" i="3"/>
  <c r="AB92" i="3"/>
  <c r="AA93" i="3"/>
  <c r="AB93" i="3"/>
  <c r="AA94" i="3"/>
  <c r="AB94" i="3"/>
  <c r="AA95" i="3"/>
  <c r="AB95" i="3"/>
  <c r="AA97" i="3"/>
  <c r="AB97" i="3"/>
  <c r="AA98" i="3"/>
  <c r="AB98" i="3"/>
  <c r="AA99" i="3"/>
  <c r="AB99" i="3"/>
  <c r="AA100" i="3"/>
  <c r="AB100" i="3"/>
  <c r="AA101" i="3"/>
  <c r="AB101" i="3"/>
  <c r="AA102" i="3"/>
  <c r="AB102" i="3"/>
  <c r="AA103" i="3"/>
  <c r="AB103" i="3"/>
  <c r="AA104" i="3"/>
  <c r="AB104" i="3"/>
  <c r="AA105" i="3"/>
  <c r="AB105" i="3"/>
  <c r="AA106" i="3"/>
  <c r="AB106" i="3"/>
  <c r="AA107" i="3"/>
  <c r="AB107" i="3"/>
  <c r="AA108" i="3"/>
  <c r="AB108" i="3"/>
  <c r="AA109" i="3"/>
  <c r="AB109" i="3"/>
  <c r="AA110" i="3"/>
  <c r="AB110" i="3"/>
  <c r="AA111" i="3"/>
  <c r="AB111" i="3"/>
  <c r="AA112" i="3"/>
  <c r="AB112" i="3"/>
  <c r="AA113" i="3"/>
  <c r="AB113" i="3"/>
  <c r="AA114" i="3"/>
  <c r="AB114" i="3"/>
  <c r="AA115" i="3"/>
  <c r="AB115" i="3"/>
  <c r="AA116" i="3"/>
  <c r="AB116" i="3"/>
  <c r="AA118" i="3"/>
  <c r="AB118" i="3"/>
  <c r="AA119" i="3"/>
  <c r="AB119" i="3"/>
  <c r="AA120" i="3"/>
  <c r="AB120" i="3"/>
  <c r="AA121" i="3"/>
  <c r="AB121" i="3"/>
  <c r="AA122" i="3"/>
  <c r="AB122" i="3"/>
  <c r="AA123" i="3"/>
  <c r="AB123" i="3"/>
  <c r="AA124" i="3"/>
  <c r="AB124" i="3"/>
  <c r="AA125" i="3"/>
  <c r="AB125" i="3"/>
  <c r="AA126" i="3"/>
  <c r="AB126" i="3"/>
  <c r="AA127" i="3"/>
  <c r="AB127" i="3"/>
  <c r="AA128" i="3"/>
  <c r="AB128" i="3"/>
  <c r="AA129" i="3"/>
  <c r="AB129" i="3"/>
  <c r="AA130" i="3"/>
  <c r="AB130" i="3"/>
  <c r="AA131" i="3"/>
  <c r="AB131" i="3"/>
  <c r="AA132" i="3"/>
  <c r="AB132" i="3"/>
  <c r="AA133" i="3"/>
  <c r="AB133" i="3"/>
  <c r="AA134" i="3"/>
  <c r="AB134" i="3"/>
  <c r="AA135" i="3"/>
  <c r="AB135" i="3"/>
  <c r="AA136" i="3"/>
  <c r="AB136" i="3"/>
  <c r="AA137" i="3"/>
  <c r="AB137" i="3"/>
  <c r="AA139" i="3"/>
  <c r="AB139" i="3"/>
  <c r="AA140" i="3"/>
  <c r="AA141" i="3"/>
  <c r="AB141" i="3"/>
  <c r="AA142" i="3"/>
  <c r="AA143" i="3"/>
  <c r="AB143" i="3"/>
  <c r="AA144" i="3"/>
  <c r="AA145" i="3"/>
  <c r="AB145" i="3"/>
  <c r="AA146" i="3"/>
  <c r="AA147" i="3"/>
  <c r="AB147" i="3"/>
  <c r="AA148" i="3"/>
  <c r="AA149" i="3"/>
  <c r="AB149" i="3"/>
  <c r="AA150" i="3"/>
  <c r="AA151" i="3"/>
  <c r="AB151" i="3"/>
  <c r="AA152" i="3"/>
  <c r="AA153" i="3"/>
  <c r="AB153" i="3"/>
  <c r="AA154" i="3"/>
  <c r="AA155" i="3"/>
  <c r="AB155" i="3"/>
  <c r="AA156" i="3"/>
  <c r="AA157" i="3"/>
  <c r="AB157" i="3"/>
  <c r="AA158" i="3"/>
  <c r="AA160" i="3"/>
  <c r="AB160" i="3"/>
  <c r="AB161" i="3"/>
  <c r="AA162" i="3"/>
  <c r="AB162" i="3"/>
  <c r="AB163" i="3"/>
  <c r="AA164" i="3"/>
  <c r="AB164" i="3"/>
  <c r="AB165" i="3"/>
  <c r="AA166" i="3"/>
  <c r="AB166" i="3"/>
  <c r="AB167" i="3"/>
  <c r="AA168" i="3"/>
  <c r="AB168" i="3"/>
  <c r="AB169" i="3"/>
  <c r="AA170" i="3"/>
  <c r="AB170" i="3"/>
  <c r="AB171" i="3"/>
  <c r="AA172" i="3"/>
  <c r="AB172" i="3"/>
  <c r="AB173" i="3"/>
  <c r="AA174" i="3"/>
  <c r="AB174" i="3"/>
  <c r="AB175" i="3"/>
  <c r="AA176" i="3"/>
  <c r="AB176" i="3"/>
  <c r="AB177" i="3"/>
  <c r="AA178" i="3"/>
  <c r="AB178" i="3"/>
  <c r="AB179" i="3"/>
  <c r="AB181" i="3"/>
  <c r="AA182" i="3"/>
  <c r="AB182" i="3"/>
  <c r="AB183" i="3"/>
  <c r="AA184" i="3"/>
  <c r="AB184" i="3"/>
  <c r="AB185" i="3"/>
  <c r="AA186" i="3"/>
  <c r="AB186" i="3"/>
  <c r="AB187" i="3"/>
  <c r="AA188" i="3"/>
  <c r="AB188" i="3"/>
  <c r="AB189" i="3"/>
  <c r="AA190" i="3"/>
  <c r="AB190" i="3"/>
  <c r="AB191" i="3"/>
  <c r="AA192" i="3"/>
  <c r="AB192" i="3"/>
  <c r="AB193" i="3"/>
  <c r="AA194" i="3"/>
  <c r="AB194" i="3"/>
  <c r="AB195" i="3"/>
  <c r="AA196" i="3"/>
  <c r="AB196" i="3"/>
  <c r="AB197" i="3"/>
  <c r="AA198" i="3"/>
  <c r="AB198" i="3"/>
  <c r="AB199" i="3"/>
  <c r="AA200" i="3"/>
  <c r="AB200" i="3"/>
  <c r="AA202" i="3"/>
  <c r="AB202" i="3"/>
  <c r="AA203" i="3"/>
  <c r="AB203" i="3"/>
  <c r="AA204" i="3"/>
  <c r="AB204" i="3"/>
  <c r="AA205" i="3"/>
  <c r="AB205" i="3"/>
  <c r="AA206" i="3"/>
  <c r="AB206" i="3"/>
  <c r="AA207" i="3"/>
  <c r="AB207" i="3"/>
  <c r="AA208" i="3"/>
  <c r="AB208" i="3"/>
  <c r="AA209" i="3"/>
  <c r="AB209" i="3"/>
  <c r="AA210" i="3"/>
  <c r="AB210" i="3"/>
  <c r="AA211" i="3"/>
  <c r="AB211" i="3"/>
  <c r="AA212" i="3"/>
  <c r="AB212" i="3"/>
  <c r="AA213" i="3"/>
  <c r="AB213" i="3"/>
  <c r="AA214" i="3"/>
  <c r="AB214" i="3"/>
  <c r="AA215" i="3"/>
  <c r="AB215" i="3"/>
  <c r="AA216" i="3"/>
  <c r="AB216" i="3"/>
  <c r="AA217" i="3"/>
  <c r="AB217" i="3"/>
  <c r="AA218" i="3"/>
  <c r="AB218" i="3"/>
  <c r="AA219" i="3"/>
  <c r="AB219" i="3"/>
  <c r="AA220" i="3"/>
  <c r="AB220" i="3"/>
  <c r="AA221" i="3"/>
  <c r="AB221" i="3"/>
  <c r="AA223" i="3"/>
  <c r="AB223" i="3"/>
  <c r="AA224" i="3"/>
  <c r="AB224" i="3"/>
  <c r="AA225" i="3"/>
  <c r="AB225" i="3"/>
  <c r="AA226" i="3"/>
  <c r="AB226" i="3"/>
  <c r="AA227" i="3"/>
  <c r="AB227" i="3"/>
  <c r="AA228" i="3"/>
  <c r="AB228" i="3"/>
  <c r="AA229" i="3"/>
  <c r="AB229" i="3"/>
  <c r="AA230" i="3"/>
  <c r="AB230" i="3"/>
  <c r="AA231" i="3"/>
  <c r="AB231" i="3"/>
  <c r="AA232" i="3"/>
  <c r="AB232" i="3"/>
  <c r="AA233" i="3"/>
  <c r="AB233" i="3"/>
  <c r="AA234" i="3"/>
  <c r="AB234" i="3"/>
  <c r="AA235" i="3"/>
  <c r="AB235" i="3"/>
  <c r="AA236" i="3"/>
  <c r="AB236" i="3"/>
  <c r="AA237" i="3"/>
  <c r="AB237" i="3"/>
  <c r="AA238" i="3"/>
  <c r="AB238" i="3"/>
  <c r="AA239" i="3"/>
  <c r="AB239" i="3"/>
  <c r="AA240" i="3"/>
  <c r="AB240" i="3"/>
  <c r="AA241" i="3"/>
  <c r="AB241" i="3"/>
  <c r="AA242" i="3"/>
  <c r="AB242" i="3"/>
  <c r="AA244" i="3"/>
  <c r="AB244" i="3"/>
  <c r="AA245" i="3"/>
  <c r="AB245" i="3"/>
  <c r="AA246" i="3"/>
  <c r="AB246" i="3"/>
  <c r="AA247" i="3"/>
  <c r="AB247" i="3"/>
  <c r="AA248" i="3"/>
  <c r="AB248" i="3"/>
  <c r="AA249" i="3"/>
  <c r="AB249" i="3"/>
  <c r="AA250" i="3"/>
  <c r="AB250" i="3"/>
  <c r="AA251" i="3"/>
  <c r="AB251" i="3"/>
  <c r="AA252" i="3"/>
  <c r="AB252" i="3"/>
  <c r="AA253" i="3"/>
  <c r="AB253" i="3"/>
  <c r="AA254" i="3"/>
  <c r="AB254" i="3"/>
  <c r="AA255" i="3"/>
  <c r="AB255" i="3"/>
  <c r="AA256" i="3"/>
  <c r="AB256" i="3"/>
  <c r="AA257" i="3"/>
  <c r="AB257" i="3"/>
  <c r="AA258" i="3"/>
  <c r="AB258" i="3"/>
  <c r="AA259" i="3"/>
  <c r="AB259" i="3"/>
  <c r="AA260" i="3"/>
  <c r="AB260" i="3"/>
  <c r="AA261" i="3"/>
  <c r="AB261" i="3"/>
  <c r="AA262" i="3"/>
  <c r="AB262" i="3"/>
  <c r="AA263" i="3"/>
  <c r="AB263" i="3"/>
  <c r="AA265" i="3"/>
  <c r="AB265" i="3"/>
  <c r="AA266" i="3"/>
  <c r="AB266" i="3"/>
  <c r="AA267" i="3"/>
  <c r="AB267" i="3"/>
  <c r="AA268" i="3"/>
  <c r="AB268" i="3"/>
  <c r="AA269" i="3"/>
  <c r="AB269" i="3"/>
  <c r="AA270" i="3"/>
  <c r="AB270" i="3"/>
  <c r="AA271" i="3"/>
  <c r="AB271" i="3"/>
  <c r="AA272" i="3"/>
  <c r="AB272" i="3"/>
  <c r="AA273" i="3"/>
  <c r="AB273" i="3"/>
  <c r="AA274" i="3"/>
  <c r="AB274" i="3"/>
  <c r="AA275" i="3"/>
  <c r="AB275" i="3"/>
  <c r="AA276" i="3"/>
  <c r="AB276" i="3"/>
  <c r="AA277" i="3"/>
  <c r="AB277" i="3"/>
  <c r="AA278" i="3"/>
  <c r="AB278" i="3"/>
  <c r="AA279" i="3"/>
  <c r="AB279" i="3"/>
  <c r="AA280" i="3"/>
  <c r="AB280" i="3"/>
  <c r="AA281" i="3"/>
  <c r="AB281" i="3"/>
  <c r="AA282" i="3"/>
  <c r="AB282" i="3"/>
  <c r="AA283" i="3"/>
  <c r="AB283" i="3"/>
  <c r="AA284" i="3"/>
  <c r="AB284" i="3"/>
  <c r="AA286" i="3"/>
  <c r="AB286" i="3"/>
  <c r="AA287" i="3"/>
  <c r="AB287" i="3"/>
  <c r="AA288" i="3"/>
  <c r="AB288" i="3"/>
  <c r="AA289" i="3"/>
  <c r="AB289" i="3"/>
  <c r="AA290" i="3"/>
  <c r="AB290" i="3"/>
  <c r="AA291" i="3"/>
  <c r="AB291" i="3"/>
  <c r="AA292" i="3"/>
  <c r="AB292" i="3"/>
  <c r="AA293" i="3"/>
  <c r="AB293" i="3"/>
  <c r="AA294" i="3"/>
  <c r="AB294" i="3"/>
  <c r="AA295" i="3"/>
  <c r="AB295" i="3"/>
  <c r="AA296" i="3"/>
  <c r="AB296" i="3"/>
  <c r="AA297" i="3"/>
  <c r="AB297" i="3"/>
  <c r="AA298" i="3"/>
  <c r="AB298" i="3"/>
  <c r="AA299" i="3"/>
  <c r="AB299" i="3"/>
  <c r="AA300" i="3"/>
  <c r="AB300" i="3"/>
  <c r="AA301" i="3"/>
  <c r="AB301" i="3"/>
  <c r="AA302" i="3"/>
  <c r="AB302" i="3"/>
  <c r="AA303" i="3"/>
  <c r="AB303" i="3"/>
  <c r="AA304" i="3"/>
  <c r="AB304" i="3"/>
  <c r="AA305" i="3"/>
  <c r="AB305" i="3"/>
  <c r="F8" i="6" l="1"/>
  <c r="C285" i="6" s="1"/>
  <c r="E285" i="6" s="1"/>
  <c r="F8" i="3"/>
  <c r="F8" i="5"/>
  <c r="C20" i="7"/>
  <c r="C19" i="7"/>
  <c r="V305" i="6"/>
  <c r="U305" i="6"/>
  <c r="B285" i="6"/>
  <c r="B286" i="6" s="1"/>
  <c r="A285" i="6"/>
  <c r="Z284" i="6"/>
  <c r="Y284" i="6"/>
  <c r="Z283" i="6"/>
  <c r="Y283" i="6"/>
  <c r="Z282" i="6"/>
  <c r="Y282" i="6"/>
  <c r="Z281" i="6"/>
  <c r="Y281" i="6"/>
  <c r="Z280" i="6"/>
  <c r="Y280" i="6"/>
  <c r="Z279" i="6"/>
  <c r="Y279" i="6"/>
  <c r="Z278" i="6"/>
  <c r="Y278" i="6"/>
  <c r="Z277" i="6"/>
  <c r="Y277" i="6"/>
  <c r="Z276" i="6"/>
  <c r="Y276" i="6"/>
  <c r="Z275" i="6"/>
  <c r="Y275" i="6"/>
  <c r="Z274" i="6"/>
  <c r="Y274" i="6"/>
  <c r="Z273" i="6"/>
  <c r="Y273" i="6"/>
  <c r="Z272" i="6"/>
  <c r="Y272" i="6"/>
  <c r="Z271" i="6"/>
  <c r="Y271" i="6"/>
  <c r="Z270" i="6"/>
  <c r="Y270" i="6"/>
  <c r="Z269" i="6"/>
  <c r="Y269" i="6"/>
  <c r="Z268" i="6"/>
  <c r="Y268" i="6"/>
  <c r="Z267" i="6"/>
  <c r="Y267" i="6"/>
  <c r="Z266" i="6"/>
  <c r="Y266" i="6"/>
  <c r="Z265" i="6"/>
  <c r="Y265" i="6"/>
  <c r="C264" i="6"/>
  <c r="E264" i="6" s="1"/>
  <c r="B264" i="6"/>
  <c r="A264" i="6"/>
  <c r="Z263" i="6"/>
  <c r="Y263" i="6"/>
  <c r="Z262" i="6"/>
  <c r="Y262" i="6"/>
  <c r="Z261" i="6"/>
  <c r="Y261" i="6"/>
  <c r="Z260" i="6"/>
  <c r="Y260" i="6"/>
  <c r="Z259" i="6"/>
  <c r="Y259" i="6"/>
  <c r="Z258" i="6"/>
  <c r="Y258" i="6"/>
  <c r="Z257" i="6"/>
  <c r="Y257" i="6"/>
  <c r="Z256" i="6"/>
  <c r="Y256" i="6"/>
  <c r="Z255" i="6"/>
  <c r="Y255" i="6"/>
  <c r="Z254" i="6"/>
  <c r="Y254" i="6"/>
  <c r="Z253" i="6"/>
  <c r="Y253" i="6"/>
  <c r="Z252" i="6"/>
  <c r="Y252" i="6"/>
  <c r="Z251" i="6"/>
  <c r="Y251" i="6"/>
  <c r="Z250" i="6"/>
  <c r="Y250" i="6"/>
  <c r="Z249" i="6"/>
  <c r="Y249" i="6"/>
  <c r="Z248" i="6"/>
  <c r="Y248" i="6"/>
  <c r="Z247" i="6"/>
  <c r="Y247" i="6"/>
  <c r="Z246" i="6"/>
  <c r="Y246" i="6"/>
  <c r="Z245" i="6"/>
  <c r="Y245" i="6"/>
  <c r="Z244" i="6"/>
  <c r="Y244" i="6"/>
  <c r="B244" i="6"/>
  <c r="C243" i="6"/>
  <c r="E243" i="6" s="1"/>
  <c r="B243" i="6"/>
  <c r="A243" i="6"/>
  <c r="Z242" i="6"/>
  <c r="Y242" i="6"/>
  <c r="Z241" i="6"/>
  <c r="Y241" i="6"/>
  <c r="Z240" i="6"/>
  <c r="Y240" i="6"/>
  <c r="Z239" i="6"/>
  <c r="Y239" i="6"/>
  <c r="Z238" i="6"/>
  <c r="Y238" i="6"/>
  <c r="Z237" i="6"/>
  <c r="Y237" i="6"/>
  <c r="Z236" i="6"/>
  <c r="Y236" i="6"/>
  <c r="Z235" i="6"/>
  <c r="Y235" i="6"/>
  <c r="Z234" i="6"/>
  <c r="Y234" i="6"/>
  <c r="Z233" i="6"/>
  <c r="Y233" i="6"/>
  <c r="Z232" i="6"/>
  <c r="Y232" i="6"/>
  <c r="Z231" i="6"/>
  <c r="Y231" i="6"/>
  <c r="Z230" i="6"/>
  <c r="Y230" i="6"/>
  <c r="Z229" i="6"/>
  <c r="Y229" i="6"/>
  <c r="Z228" i="6"/>
  <c r="Y228" i="6"/>
  <c r="Z227" i="6"/>
  <c r="Y227" i="6"/>
  <c r="Z226" i="6"/>
  <c r="Y226" i="6"/>
  <c r="Z225" i="6"/>
  <c r="Y225" i="6"/>
  <c r="Z224" i="6"/>
  <c r="Y224" i="6"/>
  <c r="Z223" i="6"/>
  <c r="Y223" i="6"/>
  <c r="C222" i="6"/>
  <c r="E222" i="6" s="1"/>
  <c r="B222" i="6"/>
  <c r="B223" i="6" s="1"/>
  <c r="A222" i="6"/>
  <c r="Z221" i="6"/>
  <c r="Y221" i="6"/>
  <c r="Z220" i="6"/>
  <c r="Y220" i="6"/>
  <c r="Z219" i="6"/>
  <c r="Y219" i="6"/>
  <c r="Z218" i="6"/>
  <c r="Y218" i="6"/>
  <c r="Z217" i="6"/>
  <c r="Y217" i="6"/>
  <c r="Z216" i="6"/>
  <c r="Y216" i="6"/>
  <c r="Z215" i="6"/>
  <c r="Y215" i="6"/>
  <c r="Z214" i="6"/>
  <c r="Y214" i="6"/>
  <c r="Z213" i="6"/>
  <c r="Y213" i="6"/>
  <c r="Z212" i="6"/>
  <c r="Y212" i="6"/>
  <c r="Z211" i="6"/>
  <c r="Y211" i="6"/>
  <c r="Z210" i="6"/>
  <c r="Y210" i="6"/>
  <c r="Z209" i="6"/>
  <c r="Y209" i="6"/>
  <c r="Z208" i="6"/>
  <c r="Y208" i="6"/>
  <c r="Z207" i="6"/>
  <c r="Y207" i="6"/>
  <c r="Z206" i="6"/>
  <c r="Y206" i="6"/>
  <c r="Z205" i="6"/>
  <c r="Y205" i="6"/>
  <c r="Z204" i="6"/>
  <c r="Y204" i="6"/>
  <c r="Z203" i="6"/>
  <c r="Y203" i="6"/>
  <c r="Z202" i="6"/>
  <c r="Y202" i="6"/>
  <c r="C201" i="6"/>
  <c r="C202" i="6" s="1"/>
  <c r="B201" i="6"/>
  <c r="A201" i="6"/>
  <c r="Z200" i="6"/>
  <c r="Y200" i="6"/>
  <c r="Z199" i="6"/>
  <c r="Y199" i="6"/>
  <c r="Z198" i="6"/>
  <c r="Y198" i="6"/>
  <c r="Z197" i="6"/>
  <c r="Y197" i="6"/>
  <c r="Z196" i="6"/>
  <c r="Y196" i="6"/>
  <c r="Z195" i="6"/>
  <c r="Y195" i="6"/>
  <c r="Z194" i="6"/>
  <c r="Y194" i="6"/>
  <c r="Z193" i="6"/>
  <c r="Y193" i="6"/>
  <c r="Z192" i="6"/>
  <c r="Y192" i="6"/>
  <c r="Z191" i="6"/>
  <c r="Y191" i="6"/>
  <c r="Z190" i="6"/>
  <c r="Y190" i="6"/>
  <c r="Z189" i="6"/>
  <c r="Y189" i="6"/>
  <c r="Z188" i="6"/>
  <c r="Y188" i="6"/>
  <c r="Z187" i="6"/>
  <c r="Y187" i="6"/>
  <c r="Z186" i="6"/>
  <c r="Y186" i="6"/>
  <c r="Z185" i="6"/>
  <c r="Y185" i="6"/>
  <c r="Z184" i="6"/>
  <c r="Y184" i="6"/>
  <c r="Z183" i="6"/>
  <c r="Y183" i="6"/>
  <c r="Z182" i="6"/>
  <c r="Y182" i="6"/>
  <c r="Z181" i="6"/>
  <c r="Y181" i="6"/>
  <c r="C180" i="6"/>
  <c r="C181" i="6" s="1"/>
  <c r="B180" i="6"/>
  <c r="A180" i="6"/>
  <c r="Z179" i="6"/>
  <c r="Y179" i="6"/>
  <c r="Z178" i="6"/>
  <c r="Y178" i="6"/>
  <c r="Z177" i="6"/>
  <c r="Y177" i="6"/>
  <c r="Z176" i="6"/>
  <c r="Y176" i="6"/>
  <c r="Z175" i="6"/>
  <c r="Y175" i="6"/>
  <c r="Z174" i="6"/>
  <c r="Y174" i="6"/>
  <c r="Z173" i="6"/>
  <c r="Y173" i="6"/>
  <c r="Z172" i="6"/>
  <c r="Y172" i="6"/>
  <c r="Z171" i="6"/>
  <c r="Y171" i="6"/>
  <c r="Z170" i="6"/>
  <c r="Y170" i="6"/>
  <c r="Z169" i="6"/>
  <c r="Y169" i="6"/>
  <c r="Z168" i="6"/>
  <c r="Y168" i="6"/>
  <c r="Z167" i="6"/>
  <c r="Y167" i="6"/>
  <c r="Z166" i="6"/>
  <c r="Y166" i="6"/>
  <c r="Z165" i="6"/>
  <c r="Y165" i="6"/>
  <c r="Z164" i="6"/>
  <c r="Y164" i="6"/>
  <c r="Z163" i="6"/>
  <c r="Y163" i="6"/>
  <c r="Z162" i="6"/>
  <c r="Y162" i="6"/>
  <c r="Z161" i="6"/>
  <c r="Y161" i="6"/>
  <c r="Z160" i="6"/>
  <c r="Y160" i="6"/>
  <c r="C159" i="6"/>
  <c r="E159" i="6" s="1"/>
  <c r="B159" i="6"/>
  <c r="B160" i="6" s="1"/>
  <c r="A159" i="6"/>
  <c r="Z158" i="6"/>
  <c r="Y158" i="6"/>
  <c r="Z157" i="6"/>
  <c r="Y157" i="6"/>
  <c r="Z156" i="6"/>
  <c r="Y156" i="6"/>
  <c r="Z155" i="6"/>
  <c r="Y155" i="6"/>
  <c r="Z154" i="6"/>
  <c r="Y154" i="6"/>
  <c r="Z153" i="6"/>
  <c r="Y153" i="6"/>
  <c r="Z152" i="6"/>
  <c r="Y152" i="6"/>
  <c r="Z151" i="6"/>
  <c r="Y151" i="6"/>
  <c r="Z150" i="6"/>
  <c r="Y150" i="6"/>
  <c r="Z149" i="6"/>
  <c r="Y149" i="6"/>
  <c r="Z148" i="6"/>
  <c r="Y148" i="6"/>
  <c r="Z147" i="6"/>
  <c r="Y147" i="6"/>
  <c r="Z146" i="6"/>
  <c r="Y146" i="6"/>
  <c r="Z145" i="6"/>
  <c r="Y145" i="6"/>
  <c r="Z144" i="6"/>
  <c r="Y144" i="6"/>
  <c r="Z143" i="6"/>
  <c r="Y143" i="6"/>
  <c r="Z142" i="6"/>
  <c r="Y142" i="6"/>
  <c r="Z141" i="6"/>
  <c r="Y141" i="6"/>
  <c r="Z140" i="6"/>
  <c r="Y140" i="6"/>
  <c r="Z139" i="6"/>
  <c r="Y139" i="6"/>
  <c r="C138" i="6"/>
  <c r="E138" i="6" s="1"/>
  <c r="B138" i="6"/>
  <c r="H138" i="6" s="1"/>
  <c r="A138" i="6"/>
  <c r="Z137" i="6"/>
  <c r="Y137" i="6"/>
  <c r="Z136" i="6"/>
  <c r="Y136" i="6"/>
  <c r="Z135" i="6"/>
  <c r="Y135" i="6"/>
  <c r="Z134" i="6"/>
  <c r="Y134" i="6"/>
  <c r="Z133" i="6"/>
  <c r="Y133" i="6"/>
  <c r="Z132" i="6"/>
  <c r="Y132" i="6"/>
  <c r="Z131" i="6"/>
  <c r="Y131" i="6"/>
  <c r="Z130" i="6"/>
  <c r="Y130" i="6"/>
  <c r="Z129" i="6"/>
  <c r="Y129" i="6"/>
  <c r="Z128" i="6"/>
  <c r="Y128" i="6"/>
  <c r="Z127" i="6"/>
  <c r="Y127" i="6"/>
  <c r="Z126" i="6"/>
  <c r="Y126" i="6"/>
  <c r="Z125" i="6"/>
  <c r="Y125" i="6"/>
  <c r="Z124" i="6"/>
  <c r="Y124" i="6"/>
  <c r="Z123" i="6"/>
  <c r="Y123" i="6"/>
  <c r="Z122" i="6"/>
  <c r="Y122" i="6"/>
  <c r="Z121" i="6"/>
  <c r="Y121" i="6"/>
  <c r="Z120" i="6"/>
  <c r="Y120" i="6"/>
  <c r="Z119" i="6"/>
  <c r="Y119" i="6"/>
  <c r="Z118" i="6"/>
  <c r="Y118" i="6"/>
  <c r="C117" i="6"/>
  <c r="E117" i="6" s="1"/>
  <c r="B117" i="6"/>
  <c r="B118" i="6" s="1"/>
  <c r="A117" i="6"/>
  <c r="Z116" i="6"/>
  <c r="Y116" i="6"/>
  <c r="Z115" i="6"/>
  <c r="Y115" i="6"/>
  <c r="Z114" i="6"/>
  <c r="Y114" i="6"/>
  <c r="Z113" i="6"/>
  <c r="Y113" i="6"/>
  <c r="Z112" i="6"/>
  <c r="Y112" i="6"/>
  <c r="Z111" i="6"/>
  <c r="Y111" i="6"/>
  <c r="Z110" i="6"/>
  <c r="Y110" i="6"/>
  <c r="Z109" i="6"/>
  <c r="Y109" i="6"/>
  <c r="Z108" i="6"/>
  <c r="Y108" i="6"/>
  <c r="Z107" i="6"/>
  <c r="Y107" i="6"/>
  <c r="Z106" i="6"/>
  <c r="Y106" i="6"/>
  <c r="Z105" i="6"/>
  <c r="Y105" i="6"/>
  <c r="Z104" i="6"/>
  <c r="Y104" i="6"/>
  <c r="Z103" i="6"/>
  <c r="Y103" i="6"/>
  <c r="Z102" i="6"/>
  <c r="Y102" i="6"/>
  <c r="Z101" i="6"/>
  <c r="Y101" i="6"/>
  <c r="Z100" i="6"/>
  <c r="Y100" i="6"/>
  <c r="Z99" i="6"/>
  <c r="Y99" i="6"/>
  <c r="Z98" i="6"/>
  <c r="Y98" i="6"/>
  <c r="Z97" i="6"/>
  <c r="Y97" i="6"/>
  <c r="C96" i="6"/>
  <c r="C97" i="6" s="1"/>
  <c r="B96" i="6"/>
  <c r="H96" i="6" s="1"/>
  <c r="A96" i="6"/>
  <c r="Z95" i="6"/>
  <c r="Y95" i="6"/>
  <c r="Z94" i="6"/>
  <c r="Y94" i="6"/>
  <c r="Z93" i="6"/>
  <c r="Y93" i="6"/>
  <c r="Z92" i="6"/>
  <c r="Y92" i="6"/>
  <c r="Z91" i="6"/>
  <c r="Y91" i="6"/>
  <c r="Z90" i="6"/>
  <c r="Y90" i="6"/>
  <c r="Z89" i="6"/>
  <c r="Y89" i="6"/>
  <c r="Z88" i="6"/>
  <c r="Y88" i="6"/>
  <c r="Z87" i="6"/>
  <c r="Y87" i="6"/>
  <c r="Z86" i="6"/>
  <c r="Y86" i="6"/>
  <c r="Z85" i="6"/>
  <c r="Y85" i="6"/>
  <c r="Z84" i="6"/>
  <c r="Y84" i="6"/>
  <c r="Z83" i="6"/>
  <c r="Y83" i="6"/>
  <c r="Z82" i="6"/>
  <c r="Y82" i="6"/>
  <c r="Z81" i="6"/>
  <c r="Y81" i="6"/>
  <c r="Z80" i="6"/>
  <c r="Y80" i="6"/>
  <c r="Z79" i="6"/>
  <c r="Y79" i="6"/>
  <c r="Z78" i="6"/>
  <c r="Y78" i="6"/>
  <c r="Z77" i="6"/>
  <c r="Y77" i="6"/>
  <c r="Z76" i="6"/>
  <c r="Y76" i="6"/>
  <c r="C75" i="6"/>
  <c r="C76" i="6" s="1"/>
  <c r="B75" i="6"/>
  <c r="A75" i="6"/>
  <c r="Z74" i="6"/>
  <c r="Y74" i="6"/>
  <c r="Z73" i="6"/>
  <c r="Y73" i="6"/>
  <c r="Z72" i="6"/>
  <c r="Y72" i="6"/>
  <c r="Z71" i="6"/>
  <c r="Y71" i="6"/>
  <c r="Z70" i="6"/>
  <c r="Y70" i="6"/>
  <c r="Z69" i="6"/>
  <c r="Y69" i="6"/>
  <c r="Z68" i="6"/>
  <c r="Y68" i="6"/>
  <c r="Z67" i="6"/>
  <c r="Y67" i="6"/>
  <c r="Z66" i="6"/>
  <c r="Y66" i="6"/>
  <c r="Z65" i="6"/>
  <c r="Y65" i="6"/>
  <c r="Z64" i="6"/>
  <c r="Y64" i="6"/>
  <c r="Z63" i="6"/>
  <c r="Y63" i="6"/>
  <c r="Z62" i="6"/>
  <c r="Y62" i="6"/>
  <c r="Z61" i="6"/>
  <c r="Y61" i="6"/>
  <c r="Z60" i="6"/>
  <c r="Y60" i="6"/>
  <c r="Z59" i="6"/>
  <c r="Y59" i="6"/>
  <c r="Z58" i="6"/>
  <c r="Y58" i="6"/>
  <c r="Z57" i="6"/>
  <c r="Y57" i="6"/>
  <c r="Z56" i="6"/>
  <c r="Y56" i="6"/>
  <c r="Z55" i="6"/>
  <c r="Y55" i="6"/>
  <c r="B55" i="6"/>
  <c r="B56" i="6" s="1"/>
  <c r="I54" i="6"/>
  <c r="G54" i="6"/>
  <c r="C54" i="6"/>
  <c r="C55" i="6" s="1"/>
  <c r="B54" i="6"/>
  <c r="H54" i="6" s="1"/>
  <c r="A54" i="6"/>
  <c r="Z53" i="6"/>
  <c r="Y53" i="6"/>
  <c r="Z52" i="6"/>
  <c r="Y52" i="6"/>
  <c r="Z51" i="6"/>
  <c r="Y51" i="6"/>
  <c r="Z50" i="6"/>
  <c r="Y50" i="6"/>
  <c r="Z49" i="6"/>
  <c r="Y49" i="6"/>
  <c r="Z48" i="6"/>
  <c r="Y48" i="6"/>
  <c r="Z47" i="6"/>
  <c r="Y47" i="6"/>
  <c r="Z46" i="6"/>
  <c r="Y46" i="6"/>
  <c r="Z45" i="6"/>
  <c r="Y45" i="6"/>
  <c r="Z44" i="6"/>
  <c r="Y44" i="6"/>
  <c r="Z43" i="6"/>
  <c r="Y43" i="6"/>
  <c r="Z42" i="6"/>
  <c r="Y42" i="6"/>
  <c r="Z41" i="6"/>
  <c r="Y41" i="6"/>
  <c r="Z40" i="6"/>
  <c r="Y40" i="6"/>
  <c r="Z39" i="6"/>
  <c r="Y39" i="6"/>
  <c r="Z38" i="6"/>
  <c r="Y38" i="6"/>
  <c r="Z37" i="6"/>
  <c r="Y37" i="6"/>
  <c r="Z36" i="6"/>
  <c r="Y36" i="6"/>
  <c r="Z35" i="6"/>
  <c r="Y35" i="6"/>
  <c r="Z34" i="6"/>
  <c r="Y34" i="6"/>
  <c r="P33" i="6"/>
  <c r="C33" i="6"/>
  <c r="E33" i="6" s="1"/>
  <c r="B33" i="6"/>
  <c r="B34" i="6" s="1"/>
  <c r="A33" i="6"/>
  <c r="H13" i="6"/>
  <c r="B13" i="6"/>
  <c r="I12" i="6"/>
  <c r="G12" i="6"/>
  <c r="C12" i="6"/>
  <c r="B12" i="6"/>
  <c r="A12" i="6"/>
  <c r="K3" i="6"/>
  <c r="Z223" i="3"/>
  <c r="Z224" i="3"/>
  <c r="Z225" i="3"/>
  <c r="Z226" i="3"/>
  <c r="Z227" i="3"/>
  <c r="Z228" i="3"/>
  <c r="Z229" i="3"/>
  <c r="Z230" i="3"/>
  <c r="Z231" i="3"/>
  <c r="Z232" i="3"/>
  <c r="Z233" i="3"/>
  <c r="Z234" i="3"/>
  <c r="Z235" i="3"/>
  <c r="Z236" i="3"/>
  <c r="Z237" i="3"/>
  <c r="Z238" i="3"/>
  <c r="Z239" i="3"/>
  <c r="Z240" i="3"/>
  <c r="Z241" i="3"/>
  <c r="Z242" i="3"/>
  <c r="Z244" i="3"/>
  <c r="Z245" i="3"/>
  <c r="Z246" i="3"/>
  <c r="Z247" i="3"/>
  <c r="Z248" i="3"/>
  <c r="Z249" i="3"/>
  <c r="Z250" i="3"/>
  <c r="Z251" i="3"/>
  <c r="Z252" i="3"/>
  <c r="Z253" i="3"/>
  <c r="Z254" i="3"/>
  <c r="Z255" i="3"/>
  <c r="Z256" i="3"/>
  <c r="Z257" i="3"/>
  <c r="Z258" i="3"/>
  <c r="Z259" i="3"/>
  <c r="Z260" i="3"/>
  <c r="Z261" i="3"/>
  <c r="Z262" i="3"/>
  <c r="Z263" i="3"/>
  <c r="Z265" i="3"/>
  <c r="Z266" i="3"/>
  <c r="Z267" i="3"/>
  <c r="Z268" i="3"/>
  <c r="Z269" i="3"/>
  <c r="Z270" i="3"/>
  <c r="Z271" i="3"/>
  <c r="Z272" i="3"/>
  <c r="Z273" i="3"/>
  <c r="Z274" i="3"/>
  <c r="Z275" i="3"/>
  <c r="Z276" i="3"/>
  <c r="Z277" i="3"/>
  <c r="Z278" i="3"/>
  <c r="Z279" i="3"/>
  <c r="Z280" i="3"/>
  <c r="Z281" i="3"/>
  <c r="Z282" i="3"/>
  <c r="Z283" i="3"/>
  <c r="Z284" i="3"/>
  <c r="Y13" i="3"/>
  <c r="Z13" i="3"/>
  <c r="Y14" i="3"/>
  <c r="Z14" i="3"/>
  <c r="Y15" i="3"/>
  <c r="Z15" i="3"/>
  <c r="Y16" i="3"/>
  <c r="Z16" i="3"/>
  <c r="Y17" i="3"/>
  <c r="Z17" i="3"/>
  <c r="Y18" i="3"/>
  <c r="Z18" i="3"/>
  <c r="Y19" i="3"/>
  <c r="Z19" i="3"/>
  <c r="Y20" i="3"/>
  <c r="Z20" i="3"/>
  <c r="Y21" i="3"/>
  <c r="Z21" i="3"/>
  <c r="Y22" i="3"/>
  <c r="Z22" i="3"/>
  <c r="Y23" i="3"/>
  <c r="Z23" i="3"/>
  <c r="Y24" i="3"/>
  <c r="Z24" i="3"/>
  <c r="Y25" i="3"/>
  <c r="Z25" i="3"/>
  <c r="Y26" i="3"/>
  <c r="Z26" i="3"/>
  <c r="Y27" i="3"/>
  <c r="Z27" i="3"/>
  <c r="Y28" i="3"/>
  <c r="Z28" i="3"/>
  <c r="Y29" i="3"/>
  <c r="Z29" i="3"/>
  <c r="Y30" i="3"/>
  <c r="Z30" i="3"/>
  <c r="Y31" i="3"/>
  <c r="Z31" i="3"/>
  <c r="Y32" i="3"/>
  <c r="Z32" i="3"/>
  <c r="Y34" i="3"/>
  <c r="Z34" i="3"/>
  <c r="Y35" i="3"/>
  <c r="Z35" i="3"/>
  <c r="Y36" i="3"/>
  <c r="Z36" i="3"/>
  <c r="Y37" i="3"/>
  <c r="Z37" i="3"/>
  <c r="Y38" i="3"/>
  <c r="Z38" i="3"/>
  <c r="Y39" i="3"/>
  <c r="Z39" i="3"/>
  <c r="Y40" i="3"/>
  <c r="Z40" i="3"/>
  <c r="Y41" i="3"/>
  <c r="Z41" i="3"/>
  <c r="Y42" i="3"/>
  <c r="Z42" i="3"/>
  <c r="Y43" i="3"/>
  <c r="Z43" i="3"/>
  <c r="Y44" i="3"/>
  <c r="Z44" i="3"/>
  <c r="Y45" i="3"/>
  <c r="Z45" i="3"/>
  <c r="Y46" i="3"/>
  <c r="Z46" i="3"/>
  <c r="Y47" i="3"/>
  <c r="Z47" i="3"/>
  <c r="Y48" i="3"/>
  <c r="Z48" i="3"/>
  <c r="Y49" i="3"/>
  <c r="Z49" i="3"/>
  <c r="Y50" i="3"/>
  <c r="Z50" i="3"/>
  <c r="Y51" i="3"/>
  <c r="Z51" i="3"/>
  <c r="Y52" i="3"/>
  <c r="Z52" i="3"/>
  <c r="Y53" i="3"/>
  <c r="Z53" i="3"/>
  <c r="Y55" i="3"/>
  <c r="Z55" i="3"/>
  <c r="Y56" i="3"/>
  <c r="Z56" i="3"/>
  <c r="Y57" i="3"/>
  <c r="Z57" i="3"/>
  <c r="Y58" i="3"/>
  <c r="Z58" i="3"/>
  <c r="Y59" i="3"/>
  <c r="Z59" i="3"/>
  <c r="Y60" i="3"/>
  <c r="Z60" i="3"/>
  <c r="Y61" i="3"/>
  <c r="Z61" i="3"/>
  <c r="Y62" i="3"/>
  <c r="Z62" i="3"/>
  <c r="Y63" i="3"/>
  <c r="Z63" i="3"/>
  <c r="Y64" i="3"/>
  <c r="Z64" i="3"/>
  <c r="Y65" i="3"/>
  <c r="Z65" i="3"/>
  <c r="Y66" i="3"/>
  <c r="Z66" i="3"/>
  <c r="Y67" i="3"/>
  <c r="Z67" i="3"/>
  <c r="Y68" i="3"/>
  <c r="Z68" i="3"/>
  <c r="Y69" i="3"/>
  <c r="Z69" i="3"/>
  <c r="Y70" i="3"/>
  <c r="Z70" i="3"/>
  <c r="Y71" i="3"/>
  <c r="Z71" i="3"/>
  <c r="Y72" i="3"/>
  <c r="Z72" i="3"/>
  <c r="Y73" i="3"/>
  <c r="Z73" i="3"/>
  <c r="Y74" i="3"/>
  <c r="Z74" i="3"/>
  <c r="Y76" i="3"/>
  <c r="Z76" i="3"/>
  <c r="Y77" i="3"/>
  <c r="Z77" i="3"/>
  <c r="Y78" i="3"/>
  <c r="Z78" i="3"/>
  <c r="Y79" i="3"/>
  <c r="Z79" i="3"/>
  <c r="Y80" i="3"/>
  <c r="Z80" i="3"/>
  <c r="Y81" i="3"/>
  <c r="Z81" i="3"/>
  <c r="Y82" i="3"/>
  <c r="Z82" i="3"/>
  <c r="Y83" i="3"/>
  <c r="Z83" i="3"/>
  <c r="Y84" i="3"/>
  <c r="Z84" i="3"/>
  <c r="Y85" i="3"/>
  <c r="Z85" i="3"/>
  <c r="Y86" i="3"/>
  <c r="Z86" i="3"/>
  <c r="Y87" i="3"/>
  <c r="Z87" i="3"/>
  <c r="Y88" i="3"/>
  <c r="Z88" i="3"/>
  <c r="Y89" i="3"/>
  <c r="Z89" i="3"/>
  <c r="Y90" i="3"/>
  <c r="Z90" i="3"/>
  <c r="Y91" i="3"/>
  <c r="Z91" i="3"/>
  <c r="Y92" i="3"/>
  <c r="Z92" i="3"/>
  <c r="Y93" i="3"/>
  <c r="Z93" i="3"/>
  <c r="Y94" i="3"/>
  <c r="Z94" i="3"/>
  <c r="Y95" i="3"/>
  <c r="Z95" i="3"/>
  <c r="Y97" i="3"/>
  <c r="Z97" i="3"/>
  <c r="Y98" i="3"/>
  <c r="Z98" i="3"/>
  <c r="Y99" i="3"/>
  <c r="Z99" i="3"/>
  <c r="Y100" i="3"/>
  <c r="Z100" i="3"/>
  <c r="Y101" i="3"/>
  <c r="Z101" i="3"/>
  <c r="Y102" i="3"/>
  <c r="Z102" i="3"/>
  <c r="Y103" i="3"/>
  <c r="Z103" i="3"/>
  <c r="Y104" i="3"/>
  <c r="Z104" i="3"/>
  <c r="Y105" i="3"/>
  <c r="Z105" i="3"/>
  <c r="Y106" i="3"/>
  <c r="Z106" i="3"/>
  <c r="Y107" i="3"/>
  <c r="Z107" i="3"/>
  <c r="Y108" i="3"/>
  <c r="Z108" i="3"/>
  <c r="Y109" i="3"/>
  <c r="Z109" i="3"/>
  <c r="Y110" i="3"/>
  <c r="Z110" i="3"/>
  <c r="Y111" i="3"/>
  <c r="Z111" i="3"/>
  <c r="Y112" i="3"/>
  <c r="Z112" i="3"/>
  <c r="Y113" i="3"/>
  <c r="Z113" i="3"/>
  <c r="Y114" i="3"/>
  <c r="Z114" i="3"/>
  <c r="Y115" i="3"/>
  <c r="Z115" i="3"/>
  <c r="Y116" i="3"/>
  <c r="Z116" i="3"/>
  <c r="Y118" i="3"/>
  <c r="Z118" i="3"/>
  <c r="Y119" i="3"/>
  <c r="Z119" i="3"/>
  <c r="Y120" i="3"/>
  <c r="Z120" i="3"/>
  <c r="Y121" i="3"/>
  <c r="Z121" i="3"/>
  <c r="Y122" i="3"/>
  <c r="Z122" i="3"/>
  <c r="Y123" i="3"/>
  <c r="Z123" i="3"/>
  <c r="Y124" i="3"/>
  <c r="Z124" i="3"/>
  <c r="Y125" i="3"/>
  <c r="Z125" i="3"/>
  <c r="Y126" i="3"/>
  <c r="Z126" i="3"/>
  <c r="Y127" i="3"/>
  <c r="Z127" i="3"/>
  <c r="Y128" i="3"/>
  <c r="Z128" i="3"/>
  <c r="Y129" i="3"/>
  <c r="Z129" i="3"/>
  <c r="Y130" i="3"/>
  <c r="Z130" i="3"/>
  <c r="Y131" i="3"/>
  <c r="Z131" i="3"/>
  <c r="Y132" i="3"/>
  <c r="Z132" i="3"/>
  <c r="Y133" i="3"/>
  <c r="Z133" i="3"/>
  <c r="Y134" i="3"/>
  <c r="Z134" i="3"/>
  <c r="Y135" i="3"/>
  <c r="Z135" i="3"/>
  <c r="Y136" i="3"/>
  <c r="Z136" i="3"/>
  <c r="Y137" i="3"/>
  <c r="Z137" i="3"/>
  <c r="Y139" i="3"/>
  <c r="Z139" i="3"/>
  <c r="Y140" i="3"/>
  <c r="Z140" i="3"/>
  <c r="Y141" i="3"/>
  <c r="Z141" i="3"/>
  <c r="Y142" i="3"/>
  <c r="Z142" i="3"/>
  <c r="Y143" i="3"/>
  <c r="Z143" i="3"/>
  <c r="Y144" i="3"/>
  <c r="Z144" i="3"/>
  <c r="Y145" i="3"/>
  <c r="Z145" i="3"/>
  <c r="Y146" i="3"/>
  <c r="Z146" i="3"/>
  <c r="Y147" i="3"/>
  <c r="Z147" i="3"/>
  <c r="Y148" i="3"/>
  <c r="Z148" i="3"/>
  <c r="Y149" i="3"/>
  <c r="Z149" i="3"/>
  <c r="Y150" i="3"/>
  <c r="Z150" i="3"/>
  <c r="Y151" i="3"/>
  <c r="Z151" i="3"/>
  <c r="Y152" i="3"/>
  <c r="Z152" i="3"/>
  <c r="Y153" i="3"/>
  <c r="Z153" i="3"/>
  <c r="Y154" i="3"/>
  <c r="Z154" i="3"/>
  <c r="Y155" i="3"/>
  <c r="Z155" i="3"/>
  <c r="Y156" i="3"/>
  <c r="Z156" i="3"/>
  <c r="Y157" i="3"/>
  <c r="Z157" i="3"/>
  <c r="Y158" i="3"/>
  <c r="Z158" i="3"/>
  <c r="Y160" i="3"/>
  <c r="Z160" i="3"/>
  <c r="Y161" i="3"/>
  <c r="Z161" i="3"/>
  <c r="Y162" i="3"/>
  <c r="Z162" i="3"/>
  <c r="Y163" i="3"/>
  <c r="Z163" i="3"/>
  <c r="Y164" i="3"/>
  <c r="Z164" i="3"/>
  <c r="Y165" i="3"/>
  <c r="Z165" i="3"/>
  <c r="Y166" i="3"/>
  <c r="Z166" i="3"/>
  <c r="Y167" i="3"/>
  <c r="Z167" i="3"/>
  <c r="Y168" i="3"/>
  <c r="Z168" i="3"/>
  <c r="Y169" i="3"/>
  <c r="Z169" i="3"/>
  <c r="Y170" i="3"/>
  <c r="Z170" i="3"/>
  <c r="Y171" i="3"/>
  <c r="Z171" i="3"/>
  <c r="Y172" i="3"/>
  <c r="Z172" i="3"/>
  <c r="Y173" i="3"/>
  <c r="Z173" i="3"/>
  <c r="Y174" i="3"/>
  <c r="Z174" i="3"/>
  <c r="Y175" i="3"/>
  <c r="Z175" i="3"/>
  <c r="Y176" i="3"/>
  <c r="Z176" i="3"/>
  <c r="Y177" i="3"/>
  <c r="Z177" i="3"/>
  <c r="Y178" i="3"/>
  <c r="Z178" i="3"/>
  <c r="Y179" i="3"/>
  <c r="Z179" i="3"/>
  <c r="Y181" i="3"/>
  <c r="Z181" i="3"/>
  <c r="Y182" i="3"/>
  <c r="Z182" i="3"/>
  <c r="Y183" i="3"/>
  <c r="Z183" i="3"/>
  <c r="Y184" i="3"/>
  <c r="Z184" i="3"/>
  <c r="Y185" i="3"/>
  <c r="Z185" i="3"/>
  <c r="Y186" i="3"/>
  <c r="Z186" i="3"/>
  <c r="Y187" i="3"/>
  <c r="Z187" i="3"/>
  <c r="Y188" i="3"/>
  <c r="Z188" i="3"/>
  <c r="Y189" i="3"/>
  <c r="Z189" i="3"/>
  <c r="Y190" i="3"/>
  <c r="Z190" i="3"/>
  <c r="Y191" i="3"/>
  <c r="Z191" i="3"/>
  <c r="Y192" i="3"/>
  <c r="Z192" i="3"/>
  <c r="Y193" i="3"/>
  <c r="Z193" i="3"/>
  <c r="Y194" i="3"/>
  <c r="Z194" i="3"/>
  <c r="Y195" i="3"/>
  <c r="Z195" i="3"/>
  <c r="Y196" i="3"/>
  <c r="Z196" i="3"/>
  <c r="Y197" i="3"/>
  <c r="Z197" i="3"/>
  <c r="Y198" i="3"/>
  <c r="Z198" i="3"/>
  <c r="Y199" i="3"/>
  <c r="Z199" i="3"/>
  <c r="Y200" i="3"/>
  <c r="Z200" i="3"/>
  <c r="Y202" i="3"/>
  <c r="Z202" i="3"/>
  <c r="Y203" i="3"/>
  <c r="Z203" i="3"/>
  <c r="Y204" i="3"/>
  <c r="Z204" i="3"/>
  <c r="Y205" i="3"/>
  <c r="Z205" i="3"/>
  <c r="Y206" i="3"/>
  <c r="Z206" i="3"/>
  <c r="Y207" i="3"/>
  <c r="Z207" i="3"/>
  <c r="Y208" i="3"/>
  <c r="Z208" i="3"/>
  <c r="Y209" i="3"/>
  <c r="Z209" i="3"/>
  <c r="Y210" i="3"/>
  <c r="Z210" i="3"/>
  <c r="Y211" i="3"/>
  <c r="Z211" i="3"/>
  <c r="Y212" i="3"/>
  <c r="Z212" i="3"/>
  <c r="Y213" i="3"/>
  <c r="Z213" i="3"/>
  <c r="Y214" i="3"/>
  <c r="Z214" i="3"/>
  <c r="Y215" i="3"/>
  <c r="Z215" i="3"/>
  <c r="Y216" i="3"/>
  <c r="Z216" i="3"/>
  <c r="Y217" i="3"/>
  <c r="Z217" i="3"/>
  <c r="Y218" i="3"/>
  <c r="Z218" i="3"/>
  <c r="Y219" i="3"/>
  <c r="Z219" i="3"/>
  <c r="Y220" i="3"/>
  <c r="Z220" i="3"/>
  <c r="Y221" i="3"/>
  <c r="Z221" i="3"/>
  <c r="Y223" i="3"/>
  <c r="Y224" i="3"/>
  <c r="Y225" i="3"/>
  <c r="Y226" i="3"/>
  <c r="Y227" i="3"/>
  <c r="Y228" i="3"/>
  <c r="Y229" i="3"/>
  <c r="Y230" i="3"/>
  <c r="Y231" i="3"/>
  <c r="Y232" i="3"/>
  <c r="Y233" i="3"/>
  <c r="Y234" i="3"/>
  <c r="Y235" i="3"/>
  <c r="Y236" i="3"/>
  <c r="Y237" i="3"/>
  <c r="Y238" i="3"/>
  <c r="Y239" i="3"/>
  <c r="Y240" i="3"/>
  <c r="Y241" i="3"/>
  <c r="Y242" i="3"/>
  <c r="Y244" i="3"/>
  <c r="Y245" i="3"/>
  <c r="Y246" i="3"/>
  <c r="Y247" i="3"/>
  <c r="Y248" i="3"/>
  <c r="Y249" i="3"/>
  <c r="Y250" i="3"/>
  <c r="Y251" i="3"/>
  <c r="Y252" i="3"/>
  <c r="Y253" i="3"/>
  <c r="Y254" i="3"/>
  <c r="Y255" i="3"/>
  <c r="Y256" i="3"/>
  <c r="Y257" i="3"/>
  <c r="Y258" i="3"/>
  <c r="Y259" i="3"/>
  <c r="Y260" i="3"/>
  <c r="Y261" i="3"/>
  <c r="Y262" i="3"/>
  <c r="Y263" i="3"/>
  <c r="Y265" i="3"/>
  <c r="Y266" i="3"/>
  <c r="Y267" i="3"/>
  <c r="Y268" i="3"/>
  <c r="Y269" i="3"/>
  <c r="Y270" i="3"/>
  <c r="Y271" i="3"/>
  <c r="Y272" i="3"/>
  <c r="Y273" i="3"/>
  <c r="Y274" i="3"/>
  <c r="Y275" i="3"/>
  <c r="Y276" i="3"/>
  <c r="Y277" i="3"/>
  <c r="Y278" i="3"/>
  <c r="Y279" i="3"/>
  <c r="Y280" i="3"/>
  <c r="Y281" i="3"/>
  <c r="Y282" i="3"/>
  <c r="Y283" i="3"/>
  <c r="Y284" i="3"/>
  <c r="V305" i="5"/>
  <c r="U305" i="5"/>
  <c r="B286" i="5"/>
  <c r="C285" i="5"/>
  <c r="B285" i="5"/>
  <c r="A285" i="5"/>
  <c r="C264" i="5"/>
  <c r="C265" i="5" s="1"/>
  <c r="B264" i="5"/>
  <c r="A264" i="5"/>
  <c r="C243" i="5"/>
  <c r="B243" i="5"/>
  <c r="B244" i="5" s="1"/>
  <c r="A243" i="5"/>
  <c r="C222" i="5"/>
  <c r="C223" i="5" s="1"/>
  <c r="B222" i="5"/>
  <c r="A222" i="5"/>
  <c r="C201" i="5"/>
  <c r="B201" i="5"/>
  <c r="B202" i="5" s="1"/>
  <c r="H202" i="5" s="1"/>
  <c r="A201" i="5"/>
  <c r="C180" i="5"/>
  <c r="B180" i="5"/>
  <c r="A180" i="5"/>
  <c r="C159" i="5"/>
  <c r="B159" i="5"/>
  <c r="A159" i="5"/>
  <c r="C138" i="5"/>
  <c r="B138" i="5"/>
  <c r="F138" i="5" s="1"/>
  <c r="A138" i="5"/>
  <c r="C117" i="5"/>
  <c r="B117" i="5"/>
  <c r="B118" i="5" s="1"/>
  <c r="A117" i="5"/>
  <c r="C96" i="5"/>
  <c r="B96" i="5"/>
  <c r="F96" i="5" s="1"/>
  <c r="A96" i="5"/>
  <c r="C75" i="5"/>
  <c r="B75" i="5"/>
  <c r="F75" i="5" s="1"/>
  <c r="A75" i="5"/>
  <c r="C54" i="5"/>
  <c r="C55" i="5" s="1"/>
  <c r="B54" i="5"/>
  <c r="A54" i="5"/>
  <c r="C33" i="5"/>
  <c r="B33" i="5"/>
  <c r="B34" i="5" s="1"/>
  <c r="A33" i="5"/>
  <c r="C12" i="5"/>
  <c r="C13" i="5" s="1"/>
  <c r="B12" i="5"/>
  <c r="I12" i="5" s="1"/>
  <c r="A12" i="5"/>
  <c r="K3" i="5"/>
  <c r="P33" i="5" s="1"/>
  <c r="K3" i="3"/>
  <c r="C34" i="6" l="1"/>
  <c r="C35" i="6" s="1"/>
  <c r="C139" i="6"/>
  <c r="C265" i="6"/>
  <c r="C13" i="6"/>
  <c r="D12" i="6"/>
  <c r="H34" i="6"/>
  <c r="F34" i="6"/>
  <c r="B35" i="6"/>
  <c r="I34" i="6"/>
  <c r="G34" i="6"/>
  <c r="E55" i="6"/>
  <c r="C56" i="6"/>
  <c r="D55" i="6"/>
  <c r="E12" i="6"/>
  <c r="B14" i="6"/>
  <c r="I13" i="6"/>
  <c r="G13" i="6"/>
  <c r="F13" i="6"/>
  <c r="C36" i="6"/>
  <c r="H56" i="6"/>
  <c r="F56" i="6"/>
  <c r="B57" i="6"/>
  <c r="I56" i="6"/>
  <c r="G56" i="6"/>
  <c r="D33" i="6"/>
  <c r="F33" i="6"/>
  <c r="H33" i="6"/>
  <c r="E54" i="6"/>
  <c r="F55" i="6"/>
  <c r="H55" i="6"/>
  <c r="C77" i="6"/>
  <c r="P138" i="6"/>
  <c r="P96" i="6"/>
  <c r="P75" i="6"/>
  <c r="P117" i="6"/>
  <c r="H244" i="6"/>
  <c r="G243" i="6"/>
  <c r="I222" i="6"/>
  <c r="G222" i="6"/>
  <c r="I243" i="6"/>
  <c r="I180" i="6"/>
  <c r="G180" i="6"/>
  <c r="H94" i="6"/>
  <c r="F94" i="6"/>
  <c r="I94" i="6"/>
  <c r="G94" i="6"/>
  <c r="G75" i="6"/>
  <c r="F12" i="6"/>
  <c r="H12" i="6"/>
  <c r="P12" i="6"/>
  <c r="Q12" i="6" s="1"/>
  <c r="Q33" i="6" s="1"/>
  <c r="Q54" i="6" s="1"/>
  <c r="Q75" i="6" s="1"/>
  <c r="Q96" i="6" s="1"/>
  <c r="Q117" i="6" s="1"/>
  <c r="Q138" i="6" s="1"/>
  <c r="Q159" i="6" s="1"/>
  <c r="Q180" i="6" s="1"/>
  <c r="Q201" i="6" s="1"/>
  <c r="Q222" i="6" s="1"/>
  <c r="Q243" i="6" s="1"/>
  <c r="Q264" i="6" s="1"/>
  <c r="Q285" i="6" s="1"/>
  <c r="G33" i="6"/>
  <c r="I33" i="6"/>
  <c r="D54" i="6"/>
  <c r="F54" i="6"/>
  <c r="P54" i="6"/>
  <c r="G55" i="6"/>
  <c r="I55" i="6"/>
  <c r="H75" i="6"/>
  <c r="C98" i="6"/>
  <c r="H118" i="6"/>
  <c r="F118" i="6"/>
  <c r="B119" i="6"/>
  <c r="I118" i="6"/>
  <c r="G118" i="6"/>
  <c r="E75" i="6"/>
  <c r="I75" i="6"/>
  <c r="B76" i="6"/>
  <c r="E96" i="6"/>
  <c r="G96" i="6"/>
  <c r="I96" i="6"/>
  <c r="B97" i="6"/>
  <c r="D117" i="6"/>
  <c r="F117" i="6"/>
  <c r="H117" i="6"/>
  <c r="C118" i="6"/>
  <c r="G138" i="6"/>
  <c r="I138" i="6"/>
  <c r="B139" i="6"/>
  <c r="D139" i="6"/>
  <c r="C140" i="6"/>
  <c r="H160" i="6"/>
  <c r="F160" i="6"/>
  <c r="B161" i="6"/>
  <c r="I160" i="6"/>
  <c r="G160" i="6"/>
  <c r="C182" i="6"/>
  <c r="D75" i="6"/>
  <c r="F75" i="6"/>
  <c r="D96" i="6"/>
  <c r="F96" i="6"/>
  <c r="G117" i="6"/>
  <c r="I117" i="6"/>
  <c r="D138" i="6"/>
  <c r="F138" i="6"/>
  <c r="H180" i="6"/>
  <c r="D159" i="6"/>
  <c r="F159" i="6"/>
  <c r="H159" i="6"/>
  <c r="C160" i="6"/>
  <c r="E180" i="6"/>
  <c r="B181" i="6"/>
  <c r="H201" i="6"/>
  <c r="G159" i="6"/>
  <c r="I159" i="6"/>
  <c r="D180" i="6"/>
  <c r="F180" i="6"/>
  <c r="C203" i="6"/>
  <c r="H223" i="6"/>
  <c r="F223" i="6"/>
  <c r="B224" i="6"/>
  <c r="I223" i="6"/>
  <c r="G223" i="6"/>
  <c r="E201" i="6"/>
  <c r="G201" i="6"/>
  <c r="I201" i="6"/>
  <c r="B202" i="6"/>
  <c r="D222" i="6"/>
  <c r="F222" i="6"/>
  <c r="H222" i="6"/>
  <c r="C223" i="6"/>
  <c r="H243" i="6"/>
  <c r="B245" i="6"/>
  <c r="I244" i="6"/>
  <c r="G244" i="6"/>
  <c r="F244" i="6"/>
  <c r="H264" i="6"/>
  <c r="D201" i="6"/>
  <c r="F201" i="6"/>
  <c r="C244" i="6"/>
  <c r="D243" i="6"/>
  <c r="F243" i="6"/>
  <c r="G264" i="6"/>
  <c r="I264" i="6"/>
  <c r="B265" i="6"/>
  <c r="C266" i="6"/>
  <c r="H286" i="6"/>
  <c r="F286" i="6"/>
  <c r="B287" i="6"/>
  <c r="I286" i="6"/>
  <c r="G286" i="6"/>
  <c r="D264" i="6"/>
  <c r="F264" i="6"/>
  <c r="D285" i="6"/>
  <c r="F285" i="6"/>
  <c r="H285" i="6"/>
  <c r="C286" i="6"/>
  <c r="G285" i="6"/>
  <c r="I285" i="6"/>
  <c r="G12" i="5"/>
  <c r="B13" i="5"/>
  <c r="B14" i="5" s="1"/>
  <c r="I54" i="5"/>
  <c r="E75" i="5"/>
  <c r="H94" i="5"/>
  <c r="G117" i="5"/>
  <c r="E138" i="5"/>
  <c r="E159" i="5"/>
  <c r="E201" i="5"/>
  <c r="E33" i="5"/>
  <c r="H54" i="5"/>
  <c r="G54" i="5"/>
  <c r="B55" i="5"/>
  <c r="E96" i="5"/>
  <c r="H159" i="5"/>
  <c r="E180" i="5"/>
  <c r="E243" i="5"/>
  <c r="C34" i="5"/>
  <c r="C35" i="5" s="1"/>
  <c r="C36" i="5" s="1"/>
  <c r="C76" i="5"/>
  <c r="C97" i="5"/>
  <c r="C98" i="5" s="1"/>
  <c r="C139" i="5"/>
  <c r="C160" i="5"/>
  <c r="C161" i="5" s="1"/>
  <c r="C181" i="5"/>
  <c r="E13" i="5"/>
  <c r="C14" i="5"/>
  <c r="D13" i="5"/>
  <c r="H14" i="5"/>
  <c r="F14" i="5"/>
  <c r="B15" i="5"/>
  <c r="I14" i="5"/>
  <c r="G14" i="5"/>
  <c r="H34" i="5"/>
  <c r="F34" i="5"/>
  <c r="B35" i="5"/>
  <c r="I34" i="5"/>
  <c r="G34" i="5"/>
  <c r="C56" i="5"/>
  <c r="E12" i="5"/>
  <c r="F13" i="5"/>
  <c r="H13" i="5"/>
  <c r="D33" i="5"/>
  <c r="F33" i="5"/>
  <c r="H33" i="5"/>
  <c r="E54" i="5"/>
  <c r="H55" i="5"/>
  <c r="C118" i="5"/>
  <c r="D117" i="5"/>
  <c r="B119" i="5"/>
  <c r="I118" i="5"/>
  <c r="G118" i="5"/>
  <c r="F118" i="5"/>
  <c r="I285" i="5"/>
  <c r="G243" i="5"/>
  <c r="G285" i="5"/>
  <c r="H244" i="5"/>
  <c r="I243" i="5"/>
  <c r="G201" i="5"/>
  <c r="F180" i="5"/>
  <c r="I201" i="5"/>
  <c r="I94" i="5"/>
  <c r="G94" i="5"/>
  <c r="D12" i="5"/>
  <c r="F12" i="5"/>
  <c r="H12" i="5"/>
  <c r="P12" i="5"/>
  <c r="Q12" i="5" s="1"/>
  <c r="Q33" i="5" s="1"/>
  <c r="Q54" i="5" s="1"/>
  <c r="Q75" i="5" s="1"/>
  <c r="Q96" i="5" s="1"/>
  <c r="Q117" i="5" s="1"/>
  <c r="Q138" i="5" s="1"/>
  <c r="Q159" i="5" s="1"/>
  <c r="Q180" i="5" s="1"/>
  <c r="Q201" i="5" s="1"/>
  <c r="Q222" i="5" s="1"/>
  <c r="Q243" i="5" s="1"/>
  <c r="Q264" i="5" s="1"/>
  <c r="Q285" i="5" s="1"/>
  <c r="G13" i="5"/>
  <c r="I13" i="5"/>
  <c r="G33" i="5"/>
  <c r="I33" i="5"/>
  <c r="D54" i="5"/>
  <c r="F54" i="5"/>
  <c r="P54" i="5"/>
  <c r="G55" i="5"/>
  <c r="B76" i="5"/>
  <c r="I75" i="5"/>
  <c r="G75" i="5"/>
  <c r="D75" i="5"/>
  <c r="H75" i="5"/>
  <c r="P75" i="5"/>
  <c r="C77" i="5"/>
  <c r="F94" i="5"/>
  <c r="B97" i="5"/>
  <c r="I96" i="5"/>
  <c r="G96" i="5"/>
  <c r="D96" i="5"/>
  <c r="H96" i="5"/>
  <c r="P96" i="5"/>
  <c r="H117" i="5"/>
  <c r="E117" i="5"/>
  <c r="I117" i="5"/>
  <c r="H118" i="5"/>
  <c r="B139" i="5"/>
  <c r="I138" i="5"/>
  <c r="G138" i="5"/>
  <c r="D138" i="5"/>
  <c r="H138" i="5"/>
  <c r="C140" i="5"/>
  <c r="F117" i="5"/>
  <c r="G159" i="5"/>
  <c r="I159" i="5"/>
  <c r="B160" i="5"/>
  <c r="B181" i="5"/>
  <c r="I180" i="5"/>
  <c r="G180" i="5"/>
  <c r="D180" i="5"/>
  <c r="H180" i="5"/>
  <c r="C182" i="5"/>
  <c r="D181" i="5"/>
  <c r="H201" i="5"/>
  <c r="F222" i="5"/>
  <c r="E223" i="5"/>
  <c r="D159" i="5"/>
  <c r="F159" i="5"/>
  <c r="C202" i="5"/>
  <c r="D201" i="5"/>
  <c r="B203" i="5"/>
  <c r="I202" i="5"/>
  <c r="G202" i="5"/>
  <c r="F202" i="5"/>
  <c r="E222" i="5"/>
  <c r="B223" i="5"/>
  <c r="I222" i="5"/>
  <c r="G222" i="5"/>
  <c r="D222" i="5"/>
  <c r="H222" i="5"/>
  <c r="C224" i="5"/>
  <c r="D223" i="5"/>
  <c r="H243" i="5"/>
  <c r="B265" i="5"/>
  <c r="I264" i="5"/>
  <c r="G264" i="5"/>
  <c r="D264" i="5"/>
  <c r="H264" i="5"/>
  <c r="C266" i="5"/>
  <c r="D265" i="5"/>
  <c r="B287" i="5"/>
  <c r="I286" i="5"/>
  <c r="G286" i="5"/>
  <c r="H286" i="5"/>
  <c r="F201" i="5"/>
  <c r="C244" i="5"/>
  <c r="D243" i="5"/>
  <c r="B245" i="5"/>
  <c r="I244" i="5"/>
  <c r="G244" i="5"/>
  <c r="F244" i="5"/>
  <c r="E264" i="5"/>
  <c r="F264" i="5"/>
  <c r="E265" i="5"/>
  <c r="C286" i="5"/>
  <c r="D285" i="5"/>
  <c r="E285" i="5"/>
  <c r="F286" i="5"/>
  <c r="F243" i="5"/>
  <c r="H285" i="5"/>
  <c r="F285" i="5"/>
  <c r="P33" i="3"/>
  <c r="P75" i="3"/>
  <c r="P117" i="3"/>
  <c r="P12" i="3"/>
  <c r="Q12" i="3" s="1"/>
  <c r="Q33" i="3" s="1"/>
  <c r="Q54" i="3" s="1"/>
  <c r="Q75" i="3" s="1"/>
  <c r="Q96" i="3" s="1"/>
  <c r="Q117" i="3" s="1"/>
  <c r="Q138" i="3" s="1"/>
  <c r="Q159" i="3" s="1"/>
  <c r="Q180" i="3" s="1"/>
  <c r="Q201" i="3" s="1"/>
  <c r="Q222" i="3" s="1"/>
  <c r="Q243" i="3" s="1"/>
  <c r="Q264" i="3" s="1"/>
  <c r="Q285" i="3" s="1"/>
  <c r="P54" i="3"/>
  <c r="P96" i="3"/>
  <c r="A285" i="3"/>
  <c r="A264" i="3"/>
  <c r="V305" i="3"/>
  <c r="U305" i="3"/>
  <c r="C285" i="3"/>
  <c r="B285" i="3"/>
  <c r="C264" i="3"/>
  <c r="B264" i="3"/>
  <c r="A243" i="3"/>
  <c r="C243" i="3"/>
  <c r="B243" i="3"/>
  <c r="A222" i="3"/>
  <c r="C222" i="3"/>
  <c r="B222" i="3"/>
  <c r="A201" i="3"/>
  <c r="C201" i="3"/>
  <c r="B201" i="3"/>
  <c r="A180" i="3"/>
  <c r="C180" i="3"/>
  <c r="B180" i="3"/>
  <c r="B181" i="3" s="1"/>
  <c r="A159" i="3"/>
  <c r="C159" i="3"/>
  <c r="B159" i="3"/>
  <c r="B160" i="3" s="1"/>
  <c r="A138" i="3"/>
  <c r="C138" i="3"/>
  <c r="B138" i="3"/>
  <c r="A117" i="3"/>
  <c r="C117" i="3"/>
  <c r="B117" i="3"/>
  <c r="B118" i="3" s="1"/>
  <c r="A96" i="3"/>
  <c r="C96" i="3"/>
  <c r="B96" i="3"/>
  <c r="A75" i="3"/>
  <c r="C75" i="3"/>
  <c r="B75" i="3"/>
  <c r="B76" i="3" s="1"/>
  <c r="D34" i="6" l="1"/>
  <c r="E34" i="6"/>
  <c r="E35" i="6"/>
  <c r="D35" i="6"/>
  <c r="C267" i="6"/>
  <c r="E266" i="6"/>
  <c r="B266" i="6"/>
  <c r="I265" i="6"/>
  <c r="G265" i="6"/>
  <c r="H265" i="6"/>
  <c r="F265" i="6"/>
  <c r="E265" i="6"/>
  <c r="B225" i="6"/>
  <c r="I224" i="6"/>
  <c r="G224" i="6"/>
  <c r="H224" i="6"/>
  <c r="F224" i="6"/>
  <c r="C204" i="6"/>
  <c r="D203" i="6"/>
  <c r="B182" i="6"/>
  <c r="I181" i="6"/>
  <c r="G181" i="6"/>
  <c r="H181" i="6"/>
  <c r="F181" i="6"/>
  <c r="C161" i="6"/>
  <c r="D160" i="6"/>
  <c r="E160" i="6"/>
  <c r="C183" i="6"/>
  <c r="D182" i="6"/>
  <c r="E182" i="6"/>
  <c r="B162" i="6"/>
  <c r="I161" i="6"/>
  <c r="G161" i="6"/>
  <c r="H161" i="6"/>
  <c r="F161" i="6"/>
  <c r="C119" i="6"/>
  <c r="D118" i="6"/>
  <c r="E118" i="6"/>
  <c r="B98" i="6"/>
  <c r="I97" i="6"/>
  <c r="G97" i="6"/>
  <c r="H97" i="6"/>
  <c r="F97" i="6"/>
  <c r="B77" i="6"/>
  <c r="I76" i="6"/>
  <c r="G76" i="6"/>
  <c r="H76" i="6"/>
  <c r="F76" i="6"/>
  <c r="B120" i="6"/>
  <c r="I119" i="6"/>
  <c r="G119" i="6"/>
  <c r="H119" i="6"/>
  <c r="F119" i="6"/>
  <c r="C99" i="6"/>
  <c r="D98" i="6"/>
  <c r="E98" i="6"/>
  <c r="C78" i="6"/>
  <c r="E77" i="6"/>
  <c r="H14" i="6"/>
  <c r="F14" i="6"/>
  <c r="G14" i="6"/>
  <c r="B15" i="6"/>
  <c r="I14" i="6"/>
  <c r="C287" i="6"/>
  <c r="D286" i="6"/>
  <c r="E286" i="6"/>
  <c r="B288" i="6"/>
  <c r="I287" i="6"/>
  <c r="G287" i="6"/>
  <c r="H287" i="6"/>
  <c r="F287" i="6"/>
  <c r="D265" i="6"/>
  <c r="E244" i="6"/>
  <c r="D244" i="6"/>
  <c r="C245" i="6"/>
  <c r="H245" i="6"/>
  <c r="F245" i="6"/>
  <c r="B246" i="6"/>
  <c r="I245" i="6"/>
  <c r="G245" i="6"/>
  <c r="C224" i="6"/>
  <c r="D223" i="6"/>
  <c r="E223" i="6"/>
  <c r="B203" i="6"/>
  <c r="I202" i="6"/>
  <c r="G202" i="6"/>
  <c r="H202" i="6"/>
  <c r="F202" i="6"/>
  <c r="D202" i="6"/>
  <c r="E202" i="6"/>
  <c r="D181" i="6"/>
  <c r="E181" i="6"/>
  <c r="C141" i="6"/>
  <c r="E140" i="6"/>
  <c r="B140" i="6"/>
  <c r="I139" i="6"/>
  <c r="G139" i="6"/>
  <c r="H139" i="6"/>
  <c r="F139" i="6"/>
  <c r="D97" i="6"/>
  <c r="E97" i="6"/>
  <c r="E139" i="6"/>
  <c r="D76" i="6"/>
  <c r="E76" i="6"/>
  <c r="B58" i="6"/>
  <c r="I57" i="6"/>
  <c r="G57" i="6"/>
  <c r="H57" i="6"/>
  <c r="F57" i="6"/>
  <c r="C37" i="6"/>
  <c r="E36" i="6"/>
  <c r="C57" i="6"/>
  <c r="D56" i="6"/>
  <c r="E56" i="6"/>
  <c r="B36" i="6"/>
  <c r="I35" i="6"/>
  <c r="G35" i="6"/>
  <c r="H35" i="6"/>
  <c r="F35" i="6"/>
  <c r="E13" i="6"/>
  <c r="C14" i="6"/>
  <c r="D13" i="6"/>
  <c r="E75" i="3"/>
  <c r="D75" i="3"/>
  <c r="D117" i="3"/>
  <c r="E117" i="3"/>
  <c r="E159" i="3"/>
  <c r="D159" i="3"/>
  <c r="E243" i="3"/>
  <c r="D243" i="3"/>
  <c r="E285" i="3"/>
  <c r="D285" i="3"/>
  <c r="B56" i="5"/>
  <c r="E55" i="5"/>
  <c r="D55" i="5"/>
  <c r="F55" i="5"/>
  <c r="I55" i="5"/>
  <c r="E96" i="3"/>
  <c r="D96" i="3"/>
  <c r="C139" i="3"/>
  <c r="E138" i="3"/>
  <c r="D138" i="3"/>
  <c r="E180" i="3"/>
  <c r="D180" i="3"/>
  <c r="B202" i="3"/>
  <c r="E222" i="3"/>
  <c r="D222" i="3"/>
  <c r="E264" i="3"/>
  <c r="D264" i="3"/>
  <c r="C202" i="3"/>
  <c r="E201" i="3"/>
  <c r="D201" i="3"/>
  <c r="B223" i="3"/>
  <c r="B244" i="3"/>
  <c r="B265" i="3"/>
  <c r="B286" i="3"/>
  <c r="D34" i="5"/>
  <c r="E34" i="5"/>
  <c r="H287" i="5"/>
  <c r="F287" i="5"/>
  <c r="B288" i="5"/>
  <c r="I287" i="5"/>
  <c r="G287" i="5"/>
  <c r="H265" i="5"/>
  <c r="F265" i="5"/>
  <c r="B266" i="5"/>
  <c r="I265" i="5"/>
  <c r="G265" i="5"/>
  <c r="C225" i="5"/>
  <c r="C162" i="5"/>
  <c r="B161" i="5"/>
  <c r="E161" i="5" s="1"/>
  <c r="I160" i="5"/>
  <c r="G160" i="5"/>
  <c r="H160" i="5"/>
  <c r="F160" i="5"/>
  <c r="C141" i="5"/>
  <c r="H139" i="5"/>
  <c r="F139" i="5"/>
  <c r="G139" i="5"/>
  <c r="B140" i="5"/>
  <c r="I139" i="5"/>
  <c r="E139" i="5"/>
  <c r="D98" i="5"/>
  <c r="C99" i="5"/>
  <c r="H97" i="5"/>
  <c r="F97" i="5"/>
  <c r="G97" i="5"/>
  <c r="B98" i="5"/>
  <c r="I97" i="5"/>
  <c r="E97" i="5"/>
  <c r="C78" i="5"/>
  <c r="H76" i="5"/>
  <c r="F76" i="5"/>
  <c r="G76" i="5"/>
  <c r="B77" i="5"/>
  <c r="I76" i="5"/>
  <c r="E76" i="5"/>
  <c r="B16" i="5"/>
  <c r="I15" i="5"/>
  <c r="G15" i="5"/>
  <c r="H15" i="5"/>
  <c r="F15" i="5"/>
  <c r="C37" i="5"/>
  <c r="E286" i="5"/>
  <c r="D286" i="5"/>
  <c r="C287" i="5"/>
  <c r="H245" i="5"/>
  <c r="F245" i="5"/>
  <c r="G245" i="5"/>
  <c r="B246" i="5"/>
  <c r="I245" i="5"/>
  <c r="E244" i="5"/>
  <c r="C245" i="5"/>
  <c r="D244" i="5"/>
  <c r="E266" i="5"/>
  <c r="C267" i="5"/>
  <c r="D266" i="5"/>
  <c r="H223" i="5"/>
  <c r="F223" i="5"/>
  <c r="G223" i="5"/>
  <c r="B224" i="5"/>
  <c r="I223" i="5"/>
  <c r="H203" i="5"/>
  <c r="F203" i="5"/>
  <c r="G203" i="5"/>
  <c r="B204" i="5"/>
  <c r="I203" i="5"/>
  <c r="E202" i="5"/>
  <c r="C203" i="5"/>
  <c r="D202" i="5"/>
  <c r="E182" i="5"/>
  <c r="C183" i="5"/>
  <c r="D182" i="5"/>
  <c r="H181" i="5"/>
  <c r="F181" i="5"/>
  <c r="B182" i="5"/>
  <c r="I181" i="5"/>
  <c r="E181" i="5"/>
  <c r="G181" i="5"/>
  <c r="D160" i="5"/>
  <c r="D139" i="5"/>
  <c r="D97" i="5"/>
  <c r="D76" i="5"/>
  <c r="E160" i="5"/>
  <c r="H119" i="5"/>
  <c r="F119" i="5"/>
  <c r="B120" i="5"/>
  <c r="I119" i="5"/>
  <c r="G119" i="5"/>
  <c r="E118" i="5"/>
  <c r="D118" i="5"/>
  <c r="C119" i="5"/>
  <c r="C57" i="5"/>
  <c r="D56" i="5"/>
  <c r="E56" i="5"/>
  <c r="B36" i="5"/>
  <c r="I35" i="5"/>
  <c r="G35" i="5"/>
  <c r="H35" i="5"/>
  <c r="F35" i="5"/>
  <c r="D35" i="5"/>
  <c r="E35" i="5"/>
  <c r="C15" i="5"/>
  <c r="D14" i="5"/>
  <c r="E14" i="5"/>
  <c r="E202" i="3"/>
  <c r="D202" i="3"/>
  <c r="C160" i="3"/>
  <c r="C286" i="3"/>
  <c r="B287" i="3"/>
  <c r="C265" i="3"/>
  <c r="B266" i="3"/>
  <c r="C244" i="3"/>
  <c r="B245" i="3"/>
  <c r="C223" i="3"/>
  <c r="B224" i="3"/>
  <c r="C203" i="3"/>
  <c r="B203" i="3"/>
  <c r="B182" i="3"/>
  <c r="C181" i="3"/>
  <c r="B161" i="3"/>
  <c r="C140" i="3"/>
  <c r="B139" i="3"/>
  <c r="D139" i="3" s="1"/>
  <c r="B119" i="3"/>
  <c r="C118" i="3"/>
  <c r="B97" i="3"/>
  <c r="C97" i="3"/>
  <c r="B98" i="3"/>
  <c r="B77" i="3"/>
  <c r="C76" i="3"/>
  <c r="A54" i="3"/>
  <c r="A33" i="3"/>
  <c r="A12" i="3"/>
  <c r="C54" i="3"/>
  <c r="B54" i="3"/>
  <c r="B55" i="3" s="1"/>
  <c r="C33" i="3"/>
  <c r="B33" i="3"/>
  <c r="B34" i="3" s="1"/>
  <c r="C12" i="3"/>
  <c r="G8" i="2"/>
  <c r="G9" i="2"/>
  <c r="B12" i="3"/>
  <c r="I201" i="3" s="1"/>
  <c r="C38" i="6" l="1"/>
  <c r="E141" i="6"/>
  <c r="C142" i="6"/>
  <c r="D141" i="6"/>
  <c r="E224" i="6"/>
  <c r="C225" i="6"/>
  <c r="D224" i="6"/>
  <c r="C246" i="6"/>
  <c r="D245" i="6"/>
  <c r="E245" i="6"/>
  <c r="C79" i="6"/>
  <c r="E99" i="6"/>
  <c r="C100" i="6"/>
  <c r="D99" i="6"/>
  <c r="H77" i="6"/>
  <c r="F77" i="6"/>
  <c r="B78" i="6"/>
  <c r="I77" i="6"/>
  <c r="G77" i="6"/>
  <c r="E119" i="6"/>
  <c r="C120" i="6"/>
  <c r="D119" i="6"/>
  <c r="E161" i="6"/>
  <c r="C162" i="6"/>
  <c r="D161" i="6"/>
  <c r="H225" i="6"/>
  <c r="F225" i="6"/>
  <c r="B226" i="6"/>
  <c r="I225" i="6"/>
  <c r="G225" i="6"/>
  <c r="C268" i="6"/>
  <c r="C15" i="6"/>
  <c r="D14" i="6"/>
  <c r="E14" i="6"/>
  <c r="H36" i="6"/>
  <c r="F36" i="6"/>
  <c r="B37" i="6"/>
  <c r="I36" i="6"/>
  <c r="G36" i="6"/>
  <c r="E57" i="6"/>
  <c r="C58" i="6"/>
  <c r="D57" i="6"/>
  <c r="D36" i="6"/>
  <c r="H58" i="6"/>
  <c r="F58" i="6"/>
  <c r="B59" i="6"/>
  <c r="I58" i="6"/>
  <c r="G58" i="6"/>
  <c r="H140" i="6"/>
  <c r="F140" i="6"/>
  <c r="B141" i="6"/>
  <c r="I140" i="6"/>
  <c r="G140" i="6"/>
  <c r="D140" i="6"/>
  <c r="H203" i="6"/>
  <c r="F203" i="6"/>
  <c r="B204" i="6"/>
  <c r="I203" i="6"/>
  <c r="G203" i="6"/>
  <c r="B247" i="6"/>
  <c r="I246" i="6"/>
  <c r="G246" i="6"/>
  <c r="F246" i="6"/>
  <c r="H246" i="6"/>
  <c r="H288" i="6"/>
  <c r="F288" i="6"/>
  <c r="B289" i="6"/>
  <c r="I288" i="6"/>
  <c r="G288" i="6"/>
  <c r="E287" i="6"/>
  <c r="C288" i="6"/>
  <c r="D287" i="6"/>
  <c r="B16" i="6"/>
  <c r="I15" i="6"/>
  <c r="G15" i="6"/>
  <c r="H15" i="6"/>
  <c r="F15" i="6"/>
  <c r="D77" i="6"/>
  <c r="H120" i="6"/>
  <c r="F120" i="6"/>
  <c r="B121" i="6"/>
  <c r="I120" i="6"/>
  <c r="G120" i="6"/>
  <c r="H98" i="6"/>
  <c r="F98" i="6"/>
  <c r="B99" i="6"/>
  <c r="I98" i="6"/>
  <c r="G98" i="6"/>
  <c r="H162" i="6"/>
  <c r="F162" i="6"/>
  <c r="B163" i="6"/>
  <c r="I162" i="6"/>
  <c r="G162" i="6"/>
  <c r="C184" i="6"/>
  <c r="H182" i="6"/>
  <c r="F182" i="6"/>
  <c r="B183" i="6"/>
  <c r="I182" i="6"/>
  <c r="G182" i="6"/>
  <c r="E203" i="6"/>
  <c r="E204" i="6"/>
  <c r="C205" i="6"/>
  <c r="D204" i="6"/>
  <c r="H266" i="6"/>
  <c r="F266" i="6"/>
  <c r="B267" i="6"/>
  <c r="I266" i="6"/>
  <c r="G266" i="6"/>
  <c r="D266" i="6"/>
  <c r="E54" i="3"/>
  <c r="D54" i="3"/>
  <c r="G117" i="3"/>
  <c r="H117" i="3"/>
  <c r="G118" i="3"/>
  <c r="H118" i="3"/>
  <c r="F138" i="3"/>
  <c r="I138" i="3"/>
  <c r="I160" i="3"/>
  <c r="G159" i="3"/>
  <c r="G160" i="3"/>
  <c r="F159" i="3"/>
  <c r="H160" i="3"/>
  <c r="I180" i="3"/>
  <c r="F180" i="3"/>
  <c r="I181" i="3"/>
  <c r="F181" i="3"/>
  <c r="F201" i="3"/>
  <c r="H202" i="3"/>
  <c r="I202" i="3"/>
  <c r="F222" i="3"/>
  <c r="G223" i="3"/>
  <c r="F244" i="3"/>
  <c r="I244" i="3"/>
  <c r="F264" i="3"/>
  <c r="G265" i="3"/>
  <c r="F285" i="3"/>
  <c r="G286" i="3"/>
  <c r="E139" i="3"/>
  <c r="H286" i="3"/>
  <c r="H285" i="3"/>
  <c r="G264" i="3"/>
  <c r="H244" i="3"/>
  <c r="H243" i="3"/>
  <c r="G222" i="3"/>
  <c r="I12" i="3"/>
  <c r="G12" i="3"/>
  <c r="I285" i="3"/>
  <c r="I264" i="3"/>
  <c r="I243" i="3"/>
  <c r="I222" i="3"/>
  <c r="E33" i="3"/>
  <c r="D33" i="3"/>
  <c r="I117" i="3"/>
  <c r="F117" i="3"/>
  <c r="I118" i="3"/>
  <c r="F118" i="3"/>
  <c r="G138" i="3"/>
  <c r="I159" i="3"/>
  <c r="H159" i="3"/>
  <c r="F160" i="3"/>
  <c r="G180" i="3"/>
  <c r="H180" i="3"/>
  <c r="G181" i="3"/>
  <c r="H181" i="3"/>
  <c r="H201" i="3"/>
  <c r="F202" i="3"/>
  <c r="G202" i="3"/>
  <c r="F223" i="3"/>
  <c r="I223" i="3"/>
  <c r="F243" i="3"/>
  <c r="G244" i="3"/>
  <c r="F265" i="3"/>
  <c r="I265" i="3"/>
  <c r="F286" i="3"/>
  <c r="I286" i="3"/>
  <c r="G285" i="3"/>
  <c r="H265" i="3"/>
  <c r="H264" i="3"/>
  <c r="G243" i="3"/>
  <c r="H223" i="3"/>
  <c r="H222" i="3"/>
  <c r="G201" i="3"/>
  <c r="H56" i="5"/>
  <c r="I56" i="5"/>
  <c r="G56" i="5"/>
  <c r="B57" i="5"/>
  <c r="E57" i="5" s="1"/>
  <c r="F56" i="5"/>
  <c r="H138" i="3"/>
  <c r="H36" i="5"/>
  <c r="F36" i="5"/>
  <c r="B37" i="5"/>
  <c r="I36" i="5"/>
  <c r="G36" i="5"/>
  <c r="C58" i="5"/>
  <c r="D57" i="5"/>
  <c r="C120" i="5"/>
  <c r="D119" i="5"/>
  <c r="E119" i="5"/>
  <c r="B205" i="5"/>
  <c r="I204" i="5"/>
  <c r="G204" i="5"/>
  <c r="H204" i="5"/>
  <c r="F204" i="5"/>
  <c r="B225" i="5"/>
  <c r="I224" i="5"/>
  <c r="G224" i="5"/>
  <c r="H224" i="5"/>
  <c r="F224" i="5"/>
  <c r="B247" i="5"/>
  <c r="I246" i="5"/>
  <c r="G246" i="5"/>
  <c r="H246" i="5"/>
  <c r="F246" i="5"/>
  <c r="C288" i="5"/>
  <c r="D287" i="5"/>
  <c r="E287" i="5"/>
  <c r="D36" i="5"/>
  <c r="B78" i="5"/>
  <c r="I77" i="5"/>
  <c r="G77" i="5"/>
  <c r="H77" i="5"/>
  <c r="F77" i="5"/>
  <c r="C79" i="5"/>
  <c r="D78" i="5"/>
  <c r="E77" i="5"/>
  <c r="B141" i="5"/>
  <c r="I140" i="5"/>
  <c r="G140" i="5"/>
  <c r="H140" i="5"/>
  <c r="F140" i="5"/>
  <c r="C142" i="5"/>
  <c r="D141" i="5"/>
  <c r="E141" i="5"/>
  <c r="E140" i="5"/>
  <c r="C163" i="5"/>
  <c r="D224" i="5"/>
  <c r="E15" i="5"/>
  <c r="C16" i="5"/>
  <c r="D15" i="5"/>
  <c r="B121" i="5"/>
  <c r="I120" i="5"/>
  <c r="G120" i="5"/>
  <c r="F120" i="5"/>
  <c r="H120" i="5"/>
  <c r="B183" i="5"/>
  <c r="I182" i="5"/>
  <c r="G182" i="5"/>
  <c r="F182" i="5"/>
  <c r="H182" i="5"/>
  <c r="C184" i="5"/>
  <c r="D183" i="5"/>
  <c r="E183" i="5"/>
  <c r="C204" i="5"/>
  <c r="D203" i="5"/>
  <c r="E203" i="5"/>
  <c r="C268" i="5"/>
  <c r="C246" i="5"/>
  <c r="D245" i="5"/>
  <c r="E245" i="5"/>
  <c r="E36" i="5"/>
  <c r="E37" i="5"/>
  <c r="C38" i="5"/>
  <c r="D37" i="5"/>
  <c r="H16" i="5"/>
  <c r="F16" i="5"/>
  <c r="B17" i="5"/>
  <c r="I16" i="5"/>
  <c r="G16" i="5"/>
  <c r="D77" i="5"/>
  <c r="B99" i="5"/>
  <c r="E99" i="5" s="1"/>
  <c r="I98" i="5"/>
  <c r="G98" i="5"/>
  <c r="H98" i="5"/>
  <c r="F98" i="5"/>
  <c r="C100" i="5"/>
  <c r="D99" i="5"/>
  <c r="E98" i="5"/>
  <c r="D140" i="5"/>
  <c r="H161" i="5"/>
  <c r="F161" i="5"/>
  <c r="B162" i="5"/>
  <c r="E162" i="5" s="1"/>
  <c r="I161" i="5"/>
  <c r="G161" i="5"/>
  <c r="D161" i="5"/>
  <c r="C226" i="5"/>
  <c r="D225" i="5"/>
  <c r="E224" i="5"/>
  <c r="B267" i="5"/>
  <c r="D267" i="5" s="1"/>
  <c r="I266" i="5"/>
  <c r="G266" i="5"/>
  <c r="F266" i="5"/>
  <c r="H266" i="5"/>
  <c r="B289" i="5"/>
  <c r="I288" i="5"/>
  <c r="G288" i="5"/>
  <c r="F288" i="5"/>
  <c r="H288" i="5"/>
  <c r="D286" i="3"/>
  <c r="E286" i="3"/>
  <c r="E265" i="3"/>
  <c r="D265" i="3"/>
  <c r="E244" i="3"/>
  <c r="D244" i="3"/>
  <c r="E223" i="3"/>
  <c r="D223" i="3"/>
  <c r="E203" i="3"/>
  <c r="D203" i="3"/>
  <c r="D181" i="3"/>
  <c r="E181" i="3"/>
  <c r="D160" i="3"/>
  <c r="E160" i="3"/>
  <c r="C161" i="3"/>
  <c r="D118" i="3"/>
  <c r="E118" i="3"/>
  <c r="D97" i="3"/>
  <c r="E97" i="3"/>
  <c r="D76" i="3"/>
  <c r="E76" i="3"/>
  <c r="C13" i="3"/>
  <c r="E12" i="3"/>
  <c r="D12" i="3"/>
  <c r="H287" i="3"/>
  <c r="F287" i="3"/>
  <c r="B288" i="3"/>
  <c r="G287" i="3"/>
  <c r="I287" i="3"/>
  <c r="C287" i="3"/>
  <c r="H266" i="3"/>
  <c r="F266" i="3"/>
  <c r="B267" i="3"/>
  <c r="G266" i="3"/>
  <c r="I266" i="3"/>
  <c r="C266" i="3"/>
  <c r="H245" i="3"/>
  <c r="F245" i="3"/>
  <c r="B246" i="3"/>
  <c r="G245" i="3"/>
  <c r="I245" i="3"/>
  <c r="C245" i="3"/>
  <c r="H224" i="3"/>
  <c r="F224" i="3"/>
  <c r="B225" i="3"/>
  <c r="G224" i="3"/>
  <c r="I224" i="3"/>
  <c r="C224" i="3"/>
  <c r="C204" i="3"/>
  <c r="H203" i="3"/>
  <c r="F203" i="3"/>
  <c r="B204" i="3"/>
  <c r="I203" i="3"/>
  <c r="G203" i="3"/>
  <c r="C182" i="3"/>
  <c r="B183" i="3"/>
  <c r="I182" i="3"/>
  <c r="G182" i="3"/>
  <c r="H182" i="3"/>
  <c r="F182" i="3"/>
  <c r="C162" i="3"/>
  <c r="B162" i="3"/>
  <c r="I161" i="3"/>
  <c r="G161" i="3"/>
  <c r="H161" i="3"/>
  <c r="F161" i="3"/>
  <c r="C141" i="3"/>
  <c r="B140" i="3"/>
  <c r="D140" i="3" s="1"/>
  <c r="I139" i="3"/>
  <c r="G139" i="3"/>
  <c r="H139" i="3"/>
  <c r="F139" i="3"/>
  <c r="C119" i="3"/>
  <c r="I119" i="3"/>
  <c r="G119" i="3"/>
  <c r="B120" i="3"/>
  <c r="H119" i="3"/>
  <c r="F119" i="3"/>
  <c r="H12" i="3"/>
  <c r="G94" i="3"/>
  <c r="I94" i="3"/>
  <c r="I75" i="3"/>
  <c r="F75" i="3"/>
  <c r="I76" i="3"/>
  <c r="F76" i="3"/>
  <c r="F96" i="3"/>
  <c r="G97" i="3"/>
  <c r="H97" i="3"/>
  <c r="G96" i="3"/>
  <c r="G75" i="3"/>
  <c r="H75" i="3"/>
  <c r="G76" i="3"/>
  <c r="H76" i="3"/>
  <c r="F97" i="3"/>
  <c r="I97" i="3"/>
  <c r="F94" i="3"/>
  <c r="H94" i="3"/>
  <c r="I96" i="3"/>
  <c r="H96" i="3"/>
  <c r="H98" i="3"/>
  <c r="F98" i="3"/>
  <c r="B99" i="3"/>
  <c r="G98" i="3"/>
  <c r="I98" i="3"/>
  <c r="C98" i="3"/>
  <c r="C77" i="3"/>
  <c r="B78" i="3"/>
  <c r="I77" i="3"/>
  <c r="G77" i="3"/>
  <c r="H77" i="3"/>
  <c r="F77" i="3"/>
  <c r="G33" i="3"/>
  <c r="I33" i="3"/>
  <c r="I54" i="3"/>
  <c r="F33" i="3"/>
  <c r="H33" i="3"/>
  <c r="H54" i="3"/>
  <c r="G54" i="3"/>
  <c r="I34" i="3"/>
  <c r="G34" i="3"/>
  <c r="H34" i="3"/>
  <c r="F34" i="3"/>
  <c r="C55" i="3"/>
  <c r="B56" i="3"/>
  <c r="I55" i="3"/>
  <c r="G55" i="3"/>
  <c r="F55" i="3"/>
  <c r="H55" i="3"/>
  <c r="F54" i="3"/>
  <c r="C34" i="3"/>
  <c r="B35" i="3"/>
  <c r="F12" i="3"/>
  <c r="B184" i="6" l="1"/>
  <c r="I183" i="6"/>
  <c r="G183" i="6"/>
  <c r="H183" i="6"/>
  <c r="F183" i="6"/>
  <c r="C185" i="6"/>
  <c r="D184" i="6"/>
  <c r="B164" i="6"/>
  <c r="I163" i="6"/>
  <c r="G163" i="6"/>
  <c r="H163" i="6"/>
  <c r="F163" i="6"/>
  <c r="B122" i="6"/>
  <c r="I121" i="6"/>
  <c r="G121" i="6"/>
  <c r="H121" i="6"/>
  <c r="F121" i="6"/>
  <c r="B248" i="6"/>
  <c r="I247" i="6"/>
  <c r="G247" i="6"/>
  <c r="H247" i="6"/>
  <c r="F247" i="6"/>
  <c r="B60" i="6"/>
  <c r="I59" i="6"/>
  <c r="G59" i="6"/>
  <c r="F59" i="6"/>
  <c r="H59" i="6"/>
  <c r="E15" i="6"/>
  <c r="D15" i="6"/>
  <c r="C16" i="6"/>
  <c r="C269" i="6"/>
  <c r="B227" i="6"/>
  <c r="I226" i="6"/>
  <c r="G226" i="6"/>
  <c r="H226" i="6"/>
  <c r="F226" i="6"/>
  <c r="C163" i="6"/>
  <c r="D162" i="6"/>
  <c r="E162" i="6"/>
  <c r="C80" i="6"/>
  <c r="E246" i="6"/>
  <c r="C247" i="6"/>
  <c r="D246" i="6"/>
  <c r="C226" i="6"/>
  <c r="D225" i="6"/>
  <c r="E225" i="6"/>
  <c r="C39" i="6"/>
  <c r="B268" i="6"/>
  <c r="I267" i="6"/>
  <c r="G267" i="6"/>
  <c r="H267" i="6"/>
  <c r="F267" i="6"/>
  <c r="C206" i="6"/>
  <c r="D205" i="6"/>
  <c r="D183" i="6"/>
  <c r="E183" i="6"/>
  <c r="B100" i="6"/>
  <c r="I99" i="6"/>
  <c r="G99" i="6"/>
  <c r="H99" i="6"/>
  <c r="F99" i="6"/>
  <c r="H16" i="6"/>
  <c r="F16" i="6"/>
  <c r="B17" i="6"/>
  <c r="I16" i="6"/>
  <c r="G16" i="6"/>
  <c r="C289" i="6"/>
  <c r="D288" i="6"/>
  <c r="E288" i="6"/>
  <c r="B290" i="6"/>
  <c r="I289" i="6"/>
  <c r="G289" i="6"/>
  <c r="H289" i="6"/>
  <c r="F289" i="6"/>
  <c r="B205" i="6"/>
  <c r="I204" i="6"/>
  <c r="G204" i="6"/>
  <c r="H204" i="6"/>
  <c r="F204" i="6"/>
  <c r="B142" i="6"/>
  <c r="I141" i="6"/>
  <c r="G141" i="6"/>
  <c r="H141" i="6"/>
  <c r="F141" i="6"/>
  <c r="C59" i="6"/>
  <c r="D58" i="6"/>
  <c r="E58" i="6"/>
  <c r="B38" i="6"/>
  <c r="I37" i="6"/>
  <c r="G37" i="6"/>
  <c r="H37" i="6"/>
  <c r="F37" i="6"/>
  <c r="D267" i="6"/>
  <c r="E267" i="6"/>
  <c r="C121" i="6"/>
  <c r="D120" i="6"/>
  <c r="E120" i="6"/>
  <c r="B79" i="6"/>
  <c r="I78" i="6"/>
  <c r="G78" i="6"/>
  <c r="H78" i="6"/>
  <c r="F78" i="6"/>
  <c r="C101" i="6"/>
  <c r="D100" i="6"/>
  <c r="D78" i="6"/>
  <c r="E78" i="6"/>
  <c r="C143" i="6"/>
  <c r="E142" i="6"/>
  <c r="D37" i="6"/>
  <c r="E37" i="6"/>
  <c r="D162" i="5"/>
  <c r="B58" i="5"/>
  <c r="G57" i="5"/>
  <c r="H57" i="5"/>
  <c r="I57" i="5"/>
  <c r="F57" i="5"/>
  <c r="H289" i="5"/>
  <c r="F289" i="5"/>
  <c r="G289" i="5"/>
  <c r="B290" i="5"/>
  <c r="I289" i="5"/>
  <c r="E100" i="5"/>
  <c r="C101" i="5"/>
  <c r="D100" i="5"/>
  <c r="E246" i="5"/>
  <c r="D246" i="5"/>
  <c r="C247" i="5"/>
  <c r="C185" i="5"/>
  <c r="H121" i="5"/>
  <c r="F121" i="5"/>
  <c r="G121" i="5"/>
  <c r="B122" i="5"/>
  <c r="I121" i="5"/>
  <c r="C143" i="5"/>
  <c r="H78" i="5"/>
  <c r="F78" i="5"/>
  <c r="B79" i="5"/>
  <c r="I78" i="5"/>
  <c r="G78" i="5"/>
  <c r="E288" i="5"/>
  <c r="C289" i="5"/>
  <c r="D288" i="5"/>
  <c r="H225" i="5"/>
  <c r="F225" i="5"/>
  <c r="B226" i="5"/>
  <c r="I225" i="5"/>
  <c r="G225" i="5"/>
  <c r="H267" i="5"/>
  <c r="F267" i="5"/>
  <c r="G267" i="5"/>
  <c r="B268" i="5"/>
  <c r="I267" i="5"/>
  <c r="E225" i="5"/>
  <c r="C227" i="5"/>
  <c r="B163" i="5"/>
  <c r="I162" i="5"/>
  <c r="G162" i="5"/>
  <c r="H162" i="5"/>
  <c r="F162" i="5"/>
  <c r="H99" i="5"/>
  <c r="F99" i="5"/>
  <c r="B100" i="5"/>
  <c r="I99" i="5"/>
  <c r="G99" i="5"/>
  <c r="B18" i="5"/>
  <c r="I17" i="5"/>
  <c r="G17" i="5"/>
  <c r="H17" i="5"/>
  <c r="F17" i="5"/>
  <c r="C39" i="5"/>
  <c r="D38" i="5"/>
  <c r="E267" i="5"/>
  <c r="D268" i="5"/>
  <c r="C269" i="5"/>
  <c r="E204" i="5"/>
  <c r="D204" i="5"/>
  <c r="C205" i="5"/>
  <c r="H183" i="5"/>
  <c r="F183" i="5"/>
  <c r="G183" i="5"/>
  <c r="B184" i="5"/>
  <c r="I183" i="5"/>
  <c r="C17" i="5"/>
  <c r="D16" i="5"/>
  <c r="E16" i="5"/>
  <c r="C164" i="5"/>
  <c r="D163" i="5"/>
  <c r="H141" i="5"/>
  <c r="F141" i="5"/>
  <c r="B142" i="5"/>
  <c r="I141" i="5"/>
  <c r="G141" i="5"/>
  <c r="E78" i="5"/>
  <c r="E79" i="5"/>
  <c r="C80" i="5"/>
  <c r="D79" i="5"/>
  <c r="H247" i="5"/>
  <c r="F247" i="5"/>
  <c r="B248" i="5"/>
  <c r="I247" i="5"/>
  <c r="G247" i="5"/>
  <c r="H205" i="5"/>
  <c r="F205" i="5"/>
  <c r="B206" i="5"/>
  <c r="I205" i="5"/>
  <c r="G205" i="5"/>
  <c r="E120" i="5"/>
  <c r="C121" i="5"/>
  <c r="D120" i="5"/>
  <c r="C59" i="5"/>
  <c r="D58" i="5"/>
  <c r="E58" i="5"/>
  <c r="B38" i="5"/>
  <c r="I37" i="5"/>
  <c r="G37" i="5"/>
  <c r="H37" i="5"/>
  <c r="F37" i="5"/>
  <c r="D287" i="3"/>
  <c r="E287" i="3"/>
  <c r="E266" i="3"/>
  <c r="D266" i="3"/>
  <c r="E245" i="3"/>
  <c r="D245" i="3"/>
  <c r="E224" i="3"/>
  <c r="D224" i="3"/>
  <c r="E204" i="3"/>
  <c r="D204" i="3"/>
  <c r="D182" i="3"/>
  <c r="E182" i="3"/>
  <c r="D162" i="3"/>
  <c r="E162" i="3"/>
  <c r="D161" i="3"/>
  <c r="E161" i="3"/>
  <c r="E140" i="3"/>
  <c r="D119" i="3"/>
  <c r="E119" i="3"/>
  <c r="D98" i="3"/>
  <c r="E98" i="3"/>
  <c r="D77" i="3"/>
  <c r="E77" i="3"/>
  <c r="D55" i="3"/>
  <c r="E55" i="3"/>
  <c r="E34" i="3"/>
  <c r="D34" i="3"/>
  <c r="C14" i="3"/>
  <c r="C288" i="3"/>
  <c r="B289" i="3"/>
  <c r="I288" i="3"/>
  <c r="G288" i="3"/>
  <c r="F288" i="3"/>
  <c r="H288" i="3"/>
  <c r="C267" i="3"/>
  <c r="B268" i="3"/>
  <c r="I267" i="3"/>
  <c r="G267" i="3"/>
  <c r="F267" i="3"/>
  <c r="H267" i="3"/>
  <c r="C246" i="3"/>
  <c r="B247" i="3"/>
  <c r="I246" i="3"/>
  <c r="G246" i="3"/>
  <c r="F246" i="3"/>
  <c r="H246" i="3"/>
  <c r="C225" i="3"/>
  <c r="B226" i="3"/>
  <c r="I225" i="3"/>
  <c r="G225" i="3"/>
  <c r="F225" i="3"/>
  <c r="H225" i="3"/>
  <c r="B205" i="3"/>
  <c r="I204" i="3"/>
  <c r="G204" i="3"/>
  <c r="H204" i="3"/>
  <c r="F204" i="3"/>
  <c r="C205" i="3"/>
  <c r="H183" i="3"/>
  <c r="F183" i="3"/>
  <c r="B184" i="3"/>
  <c r="I183" i="3"/>
  <c r="G183" i="3"/>
  <c r="C183" i="3"/>
  <c r="H162" i="3"/>
  <c r="F162" i="3"/>
  <c r="I162" i="3"/>
  <c r="B163" i="3"/>
  <c r="G162" i="3"/>
  <c r="C163" i="3"/>
  <c r="B141" i="3"/>
  <c r="D141" i="3" s="1"/>
  <c r="I140" i="3"/>
  <c r="G140" i="3"/>
  <c r="F140" i="3"/>
  <c r="H140" i="3"/>
  <c r="C142" i="3"/>
  <c r="H120" i="3"/>
  <c r="B121" i="3"/>
  <c r="I120" i="3"/>
  <c r="G120" i="3"/>
  <c r="F120" i="3"/>
  <c r="C120" i="3"/>
  <c r="C99" i="3"/>
  <c r="B100" i="3"/>
  <c r="I99" i="3"/>
  <c r="G99" i="3"/>
  <c r="F99" i="3"/>
  <c r="H99" i="3"/>
  <c r="H78" i="3"/>
  <c r="F78" i="3"/>
  <c r="B79" i="3"/>
  <c r="I78" i="3"/>
  <c r="G78" i="3"/>
  <c r="C78" i="3"/>
  <c r="C15" i="3"/>
  <c r="I35" i="3"/>
  <c r="G35" i="3"/>
  <c r="H35" i="3"/>
  <c r="F35" i="3"/>
  <c r="H56" i="3"/>
  <c r="F56" i="3"/>
  <c r="I56" i="3"/>
  <c r="B57" i="3"/>
  <c r="G56" i="3"/>
  <c r="C56" i="3"/>
  <c r="C35" i="3"/>
  <c r="B36" i="3"/>
  <c r="B13" i="3"/>
  <c r="E13" i="3" s="1"/>
  <c r="E143" i="6" l="1"/>
  <c r="C144" i="6"/>
  <c r="D143" i="6"/>
  <c r="H79" i="6"/>
  <c r="F79" i="6"/>
  <c r="B80" i="6"/>
  <c r="I79" i="6"/>
  <c r="G79" i="6"/>
  <c r="H38" i="6"/>
  <c r="F38" i="6"/>
  <c r="B39" i="6"/>
  <c r="I38" i="6"/>
  <c r="G38" i="6"/>
  <c r="H142" i="6"/>
  <c r="F142" i="6"/>
  <c r="B143" i="6"/>
  <c r="I142" i="6"/>
  <c r="G142" i="6"/>
  <c r="H290" i="6"/>
  <c r="F290" i="6"/>
  <c r="B291" i="6"/>
  <c r="I290" i="6"/>
  <c r="G290" i="6"/>
  <c r="B18" i="6"/>
  <c r="I17" i="6"/>
  <c r="G17" i="6"/>
  <c r="F17" i="6"/>
  <c r="H17" i="6"/>
  <c r="H100" i="6"/>
  <c r="F100" i="6"/>
  <c r="B101" i="6"/>
  <c r="I100" i="6"/>
  <c r="G100" i="6"/>
  <c r="H268" i="6"/>
  <c r="F268" i="6"/>
  <c r="B269" i="6"/>
  <c r="I268" i="6"/>
  <c r="G268" i="6"/>
  <c r="D38" i="6"/>
  <c r="E79" i="6"/>
  <c r="E80" i="6"/>
  <c r="C81" i="6"/>
  <c r="D80" i="6"/>
  <c r="E163" i="6"/>
  <c r="C164" i="6"/>
  <c r="D163" i="6"/>
  <c r="E268" i="6"/>
  <c r="E269" i="6"/>
  <c r="C270" i="6"/>
  <c r="D269" i="6"/>
  <c r="H60" i="6"/>
  <c r="F60" i="6"/>
  <c r="G60" i="6"/>
  <c r="B61" i="6"/>
  <c r="I60" i="6"/>
  <c r="H248" i="6"/>
  <c r="F248" i="6"/>
  <c r="B249" i="6"/>
  <c r="I248" i="6"/>
  <c r="G248" i="6"/>
  <c r="H122" i="6"/>
  <c r="F122" i="6"/>
  <c r="B123" i="6"/>
  <c r="I122" i="6"/>
  <c r="G122" i="6"/>
  <c r="H184" i="6"/>
  <c r="F184" i="6"/>
  <c r="B185" i="6"/>
  <c r="I184" i="6"/>
  <c r="G184" i="6"/>
  <c r="D142" i="6"/>
  <c r="E100" i="6"/>
  <c r="C102" i="6"/>
  <c r="E121" i="6"/>
  <c r="C122" i="6"/>
  <c r="D121" i="6"/>
  <c r="E59" i="6"/>
  <c r="C60" i="6"/>
  <c r="D59" i="6"/>
  <c r="H205" i="6"/>
  <c r="F205" i="6"/>
  <c r="B206" i="6"/>
  <c r="I205" i="6"/>
  <c r="G205" i="6"/>
  <c r="E289" i="6"/>
  <c r="C290" i="6"/>
  <c r="D289" i="6"/>
  <c r="E205" i="6"/>
  <c r="C207" i="6"/>
  <c r="E38" i="6"/>
  <c r="C40" i="6"/>
  <c r="E226" i="6"/>
  <c r="C227" i="6"/>
  <c r="D226" i="6"/>
  <c r="C248" i="6"/>
  <c r="D247" i="6"/>
  <c r="E247" i="6"/>
  <c r="D79" i="6"/>
  <c r="H227" i="6"/>
  <c r="F227" i="6"/>
  <c r="B228" i="6"/>
  <c r="I227" i="6"/>
  <c r="G227" i="6"/>
  <c r="D268" i="6"/>
  <c r="C17" i="6"/>
  <c r="D16" i="6"/>
  <c r="E16" i="6"/>
  <c r="H164" i="6"/>
  <c r="F164" i="6"/>
  <c r="B165" i="6"/>
  <c r="I164" i="6"/>
  <c r="G164" i="6"/>
  <c r="E184" i="6"/>
  <c r="E185" i="6"/>
  <c r="C186" i="6"/>
  <c r="D185" i="6"/>
  <c r="D13" i="3"/>
  <c r="H58" i="5"/>
  <c r="G58" i="5"/>
  <c r="I58" i="5"/>
  <c r="F58" i="5"/>
  <c r="B59" i="5"/>
  <c r="E59" i="5"/>
  <c r="D59" i="5"/>
  <c r="C60" i="5"/>
  <c r="C122" i="5"/>
  <c r="D121" i="5"/>
  <c r="E121" i="5"/>
  <c r="B207" i="5"/>
  <c r="I206" i="5"/>
  <c r="G206" i="5"/>
  <c r="F206" i="5"/>
  <c r="H206" i="5"/>
  <c r="B143" i="5"/>
  <c r="I142" i="5"/>
  <c r="G142" i="5"/>
  <c r="F142" i="5"/>
  <c r="H142" i="5"/>
  <c r="E17" i="5"/>
  <c r="C18" i="5"/>
  <c r="D17" i="5"/>
  <c r="B185" i="5"/>
  <c r="I184" i="5"/>
  <c r="G184" i="5"/>
  <c r="H184" i="5"/>
  <c r="F184" i="5"/>
  <c r="C206" i="5"/>
  <c r="D205" i="5"/>
  <c r="E205" i="5"/>
  <c r="H18" i="5"/>
  <c r="F18" i="5"/>
  <c r="B19" i="5"/>
  <c r="I18" i="5"/>
  <c r="G18" i="5"/>
  <c r="H163" i="5"/>
  <c r="F163" i="5"/>
  <c r="B164" i="5"/>
  <c r="I163" i="5"/>
  <c r="G163" i="5"/>
  <c r="C228" i="5"/>
  <c r="B269" i="5"/>
  <c r="I268" i="5"/>
  <c r="G268" i="5"/>
  <c r="H268" i="5"/>
  <c r="F268" i="5"/>
  <c r="B227" i="5"/>
  <c r="I226" i="5"/>
  <c r="G226" i="5"/>
  <c r="F226" i="5"/>
  <c r="H226" i="5"/>
  <c r="B80" i="5"/>
  <c r="I79" i="5"/>
  <c r="G79" i="5"/>
  <c r="F79" i="5"/>
  <c r="H79" i="5"/>
  <c r="C144" i="5"/>
  <c r="D143" i="5"/>
  <c r="E143" i="5"/>
  <c r="D184" i="5"/>
  <c r="B291" i="5"/>
  <c r="I290" i="5"/>
  <c r="G290" i="5"/>
  <c r="H290" i="5"/>
  <c r="F290" i="5"/>
  <c r="H38" i="5"/>
  <c r="F38" i="5"/>
  <c r="B39" i="5"/>
  <c r="I38" i="5"/>
  <c r="G38" i="5"/>
  <c r="B249" i="5"/>
  <c r="I248" i="5"/>
  <c r="G248" i="5"/>
  <c r="F248" i="5"/>
  <c r="H248" i="5"/>
  <c r="C81" i="5"/>
  <c r="D80" i="5"/>
  <c r="E80" i="5"/>
  <c r="E163" i="5"/>
  <c r="E164" i="5"/>
  <c r="C165" i="5"/>
  <c r="D164" i="5"/>
  <c r="C270" i="5"/>
  <c r="D269" i="5"/>
  <c r="E269" i="5"/>
  <c r="E268" i="5"/>
  <c r="E38" i="5"/>
  <c r="E39" i="5"/>
  <c r="C40" i="5"/>
  <c r="D39" i="5"/>
  <c r="B101" i="5"/>
  <c r="I100" i="5"/>
  <c r="G100" i="5"/>
  <c r="F100" i="5"/>
  <c r="H100" i="5"/>
  <c r="D226" i="5"/>
  <c r="E226" i="5"/>
  <c r="C290" i="5"/>
  <c r="D289" i="5"/>
  <c r="E289" i="5"/>
  <c r="D142" i="5"/>
  <c r="E142" i="5"/>
  <c r="B123" i="5"/>
  <c r="I122" i="5"/>
  <c r="G122" i="5"/>
  <c r="H122" i="5"/>
  <c r="F122" i="5"/>
  <c r="C186" i="5"/>
  <c r="D185" i="5"/>
  <c r="E185" i="5"/>
  <c r="E184" i="5"/>
  <c r="C248" i="5"/>
  <c r="D247" i="5"/>
  <c r="E247" i="5"/>
  <c r="C102" i="5"/>
  <c r="D101" i="5"/>
  <c r="E101" i="5"/>
  <c r="D288" i="3"/>
  <c r="E288" i="3"/>
  <c r="D267" i="3"/>
  <c r="E267" i="3"/>
  <c r="E246" i="3"/>
  <c r="D246" i="3"/>
  <c r="E225" i="3"/>
  <c r="D225" i="3"/>
  <c r="E205" i="3"/>
  <c r="D205" i="3"/>
  <c r="D183" i="3"/>
  <c r="E183" i="3"/>
  <c r="D163" i="3"/>
  <c r="E163" i="3"/>
  <c r="E141" i="3"/>
  <c r="D120" i="3"/>
  <c r="E120" i="3"/>
  <c r="D99" i="3"/>
  <c r="E99" i="3"/>
  <c r="D78" i="3"/>
  <c r="E78" i="3"/>
  <c r="D56" i="3"/>
  <c r="E56" i="3"/>
  <c r="E35" i="3"/>
  <c r="D35" i="3"/>
  <c r="H289" i="3"/>
  <c r="F289" i="3"/>
  <c r="B290" i="3"/>
  <c r="I289" i="3"/>
  <c r="G289" i="3"/>
  <c r="C289" i="3"/>
  <c r="H268" i="3"/>
  <c r="F268" i="3"/>
  <c r="B269" i="3"/>
  <c r="I268" i="3"/>
  <c r="G268" i="3"/>
  <c r="C268" i="3"/>
  <c r="H247" i="3"/>
  <c r="F247" i="3"/>
  <c r="B248" i="3"/>
  <c r="I247" i="3"/>
  <c r="G247" i="3"/>
  <c r="C247" i="3"/>
  <c r="H226" i="3"/>
  <c r="F226" i="3"/>
  <c r="B227" i="3"/>
  <c r="I226" i="3"/>
  <c r="G226" i="3"/>
  <c r="C226" i="3"/>
  <c r="C206" i="3"/>
  <c r="H205" i="3"/>
  <c r="F205" i="3"/>
  <c r="B206" i="3"/>
  <c r="I205" i="3"/>
  <c r="G205" i="3"/>
  <c r="C184" i="3"/>
  <c r="B185" i="3"/>
  <c r="I184" i="3"/>
  <c r="G184" i="3"/>
  <c r="H184" i="3"/>
  <c r="F184" i="3"/>
  <c r="C164" i="3"/>
  <c r="B164" i="3"/>
  <c r="I163" i="3"/>
  <c r="G163" i="3"/>
  <c r="H163" i="3"/>
  <c r="F163" i="3"/>
  <c r="C143" i="3"/>
  <c r="B142" i="3"/>
  <c r="D142" i="3" s="1"/>
  <c r="I141" i="3"/>
  <c r="G141" i="3"/>
  <c r="H141" i="3"/>
  <c r="F141" i="3"/>
  <c r="C121" i="3"/>
  <c r="B122" i="3"/>
  <c r="I121" i="3"/>
  <c r="G121" i="3"/>
  <c r="H121" i="3"/>
  <c r="F121" i="3"/>
  <c r="H100" i="3"/>
  <c r="F100" i="3"/>
  <c r="B101" i="3"/>
  <c r="I100" i="3"/>
  <c r="G100" i="3"/>
  <c r="C100" i="3"/>
  <c r="C79" i="3"/>
  <c r="B80" i="3"/>
  <c r="I79" i="3"/>
  <c r="G79" i="3"/>
  <c r="H79" i="3"/>
  <c r="F79" i="3"/>
  <c r="I36" i="3"/>
  <c r="G36" i="3"/>
  <c r="H36" i="3"/>
  <c r="F36" i="3"/>
  <c r="C16" i="3"/>
  <c r="C57" i="3"/>
  <c r="B58" i="3"/>
  <c r="I57" i="3"/>
  <c r="G57" i="3"/>
  <c r="H57" i="3"/>
  <c r="F57" i="3"/>
  <c r="C36" i="3"/>
  <c r="B37" i="3"/>
  <c r="H13" i="3"/>
  <c r="G13" i="3"/>
  <c r="F13" i="3"/>
  <c r="I13" i="3"/>
  <c r="B14" i="3"/>
  <c r="D14" i="3" s="1"/>
  <c r="B166" i="6" l="1"/>
  <c r="I165" i="6"/>
  <c r="G165" i="6"/>
  <c r="H165" i="6"/>
  <c r="F165" i="6"/>
  <c r="C249" i="6"/>
  <c r="D248" i="6"/>
  <c r="E248" i="6"/>
  <c r="C228" i="6"/>
  <c r="D227" i="6"/>
  <c r="E227" i="6"/>
  <c r="C41" i="6"/>
  <c r="C208" i="6"/>
  <c r="C291" i="6"/>
  <c r="D290" i="6"/>
  <c r="E290" i="6"/>
  <c r="B207" i="6"/>
  <c r="I206" i="6"/>
  <c r="G206" i="6"/>
  <c r="H206" i="6"/>
  <c r="F206" i="6"/>
  <c r="C61" i="6"/>
  <c r="D60" i="6"/>
  <c r="E60" i="6"/>
  <c r="C103" i="6"/>
  <c r="E102" i="6"/>
  <c r="B186" i="6"/>
  <c r="I185" i="6"/>
  <c r="G185" i="6"/>
  <c r="H185" i="6"/>
  <c r="F185" i="6"/>
  <c r="B250" i="6"/>
  <c r="I249" i="6"/>
  <c r="G249" i="6"/>
  <c r="H249" i="6"/>
  <c r="F249" i="6"/>
  <c r="C271" i="6"/>
  <c r="C165" i="6"/>
  <c r="D164" i="6"/>
  <c r="E164" i="6"/>
  <c r="B102" i="6"/>
  <c r="I101" i="6"/>
  <c r="G101" i="6"/>
  <c r="H101" i="6"/>
  <c r="F101" i="6"/>
  <c r="B292" i="6"/>
  <c r="I291" i="6"/>
  <c r="G291" i="6"/>
  <c r="H291" i="6"/>
  <c r="F291" i="6"/>
  <c r="B40" i="6"/>
  <c r="D40" i="6" s="1"/>
  <c r="I39" i="6"/>
  <c r="G39" i="6"/>
  <c r="H39" i="6"/>
  <c r="F39" i="6"/>
  <c r="C187" i="6"/>
  <c r="D186" i="6"/>
  <c r="E186" i="6"/>
  <c r="E17" i="6"/>
  <c r="C18" i="6"/>
  <c r="D17" i="6"/>
  <c r="B229" i="6"/>
  <c r="I228" i="6"/>
  <c r="G228" i="6"/>
  <c r="H228" i="6"/>
  <c r="F228" i="6"/>
  <c r="D39" i="6"/>
  <c r="E39" i="6"/>
  <c r="D206" i="6"/>
  <c r="E206" i="6"/>
  <c r="C123" i="6"/>
  <c r="D122" i="6"/>
  <c r="E122" i="6"/>
  <c r="D101" i="6"/>
  <c r="E101" i="6"/>
  <c r="B124" i="6"/>
  <c r="I123" i="6"/>
  <c r="G123" i="6"/>
  <c r="H123" i="6"/>
  <c r="F123" i="6"/>
  <c r="B62" i="6"/>
  <c r="I61" i="6"/>
  <c r="G61" i="6"/>
  <c r="H61" i="6"/>
  <c r="F61" i="6"/>
  <c r="C82" i="6"/>
  <c r="D81" i="6"/>
  <c r="B270" i="6"/>
  <c r="I269" i="6"/>
  <c r="G269" i="6"/>
  <c r="H269" i="6"/>
  <c r="F269" i="6"/>
  <c r="H18" i="6"/>
  <c r="F18" i="6"/>
  <c r="G18" i="6"/>
  <c r="B19" i="6"/>
  <c r="I18" i="6"/>
  <c r="B144" i="6"/>
  <c r="I143" i="6"/>
  <c r="G143" i="6"/>
  <c r="H143" i="6"/>
  <c r="F143" i="6"/>
  <c r="B81" i="6"/>
  <c r="I80" i="6"/>
  <c r="G80" i="6"/>
  <c r="H80" i="6"/>
  <c r="F80" i="6"/>
  <c r="C145" i="6"/>
  <c r="E144" i="6"/>
  <c r="E142" i="3"/>
  <c r="I59" i="5"/>
  <c r="H59" i="5"/>
  <c r="B60" i="5"/>
  <c r="G59" i="5"/>
  <c r="F59" i="5"/>
  <c r="C103" i="5"/>
  <c r="H123" i="5"/>
  <c r="F123" i="5"/>
  <c r="B124" i="5"/>
  <c r="I123" i="5"/>
  <c r="G123" i="5"/>
  <c r="C82" i="5"/>
  <c r="B40" i="5"/>
  <c r="I39" i="5"/>
  <c r="G39" i="5"/>
  <c r="H39" i="5"/>
  <c r="F39" i="5"/>
  <c r="C145" i="5"/>
  <c r="H227" i="5"/>
  <c r="F227" i="5"/>
  <c r="G227" i="5"/>
  <c r="B228" i="5"/>
  <c r="E228" i="5" s="1"/>
  <c r="I227" i="5"/>
  <c r="E227" i="5"/>
  <c r="D228" i="5"/>
  <c r="C229" i="5"/>
  <c r="E206" i="5"/>
  <c r="C207" i="5"/>
  <c r="D206" i="5"/>
  <c r="H207" i="5"/>
  <c r="F207" i="5"/>
  <c r="G207" i="5"/>
  <c r="B208" i="5"/>
  <c r="I207" i="5"/>
  <c r="C61" i="5"/>
  <c r="D60" i="5"/>
  <c r="E60" i="5"/>
  <c r="E248" i="5"/>
  <c r="C249" i="5"/>
  <c r="D248" i="5"/>
  <c r="C187" i="5"/>
  <c r="E290" i="5"/>
  <c r="D290" i="5"/>
  <c r="C291" i="5"/>
  <c r="H101" i="5"/>
  <c r="F101" i="5"/>
  <c r="G101" i="5"/>
  <c r="B102" i="5"/>
  <c r="E102" i="5" s="1"/>
  <c r="I101" i="5"/>
  <c r="C41" i="5"/>
  <c r="D40" i="5"/>
  <c r="E40" i="5"/>
  <c r="C271" i="5"/>
  <c r="C166" i="5"/>
  <c r="H249" i="5"/>
  <c r="F249" i="5"/>
  <c r="G249" i="5"/>
  <c r="B250" i="5"/>
  <c r="I249" i="5"/>
  <c r="H291" i="5"/>
  <c r="F291" i="5"/>
  <c r="B292" i="5"/>
  <c r="I291" i="5"/>
  <c r="G291" i="5"/>
  <c r="H80" i="5"/>
  <c r="F80" i="5"/>
  <c r="G80" i="5"/>
  <c r="B81" i="5"/>
  <c r="I80" i="5"/>
  <c r="H269" i="5"/>
  <c r="F269" i="5"/>
  <c r="B270" i="5"/>
  <c r="I269" i="5"/>
  <c r="G269" i="5"/>
  <c r="D227" i="5"/>
  <c r="B165" i="5"/>
  <c r="I164" i="5"/>
  <c r="G164" i="5"/>
  <c r="H164" i="5"/>
  <c r="F164" i="5"/>
  <c r="B20" i="5"/>
  <c r="I19" i="5"/>
  <c r="G19" i="5"/>
  <c r="H19" i="5"/>
  <c r="F19" i="5"/>
  <c r="H185" i="5"/>
  <c r="F185" i="5"/>
  <c r="B186" i="5"/>
  <c r="I185" i="5"/>
  <c r="G185" i="5"/>
  <c r="C19" i="5"/>
  <c r="D18" i="5"/>
  <c r="E18" i="5"/>
  <c r="H143" i="5"/>
  <c r="F143" i="5"/>
  <c r="G143" i="5"/>
  <c r="B144" i="5"/>
  <c r="D144" i="5" s="1"/>
  <c r="I143" i="5"/>
  <c r="E122" i="5"/>
  <c r="D122" i="5"/>
  <c r="C123" i="5"/>
  <c r="D289" i="3"/>
  <c r="E289" i="3"/>
  <c r="E268" i="3"/>
  <c r="D268" i="3"/>
  <c r="E247" i="3"/>
  <c r="D247" i="3"/>
  <c r="E226" i="3"/>
  <c r="D226" i="3"/>
  <c r="E206" i="3"/>
  <c r="D206" i="3"/>
  <c r="D184" i="3"/>
  <c r="E184" i="3"/>
  <c r="D164" i="3"/>
  <c r="E164" i="3"/>
  <c r="D121" i="3"/>
  <c r="E121" i="3"/>
  <c r="D100" i="3"/>
  <c r="E100" i="3"/>
  <c r="D79" i="3"/>
  <c r="E79" i="3"/>
  <c r="D57" i="3"/>
  <c r="E57" i="3"/>
  <c r="E36" i="3"/>
  <c r="D36" i="3"/>
  <c r="E14" i="3"/>
  <c r="C290" i="3"/>
  <c r="B291" i="3"/>
  <c r="I290" i="3"/>
  <c r="G290" i="3"/>
  <c r="H290" i="3"/>
  <c r="F290" i="3"/>
  <c r="C269" i="3"/>
  <c r="B270" i="3"/>
  <c r="I269" i="3"/>
  <c r="G269" i="3"/>
  <c r="H269" i="3"/>
  <c r="F269" i="3"/>
  <c r="C248" i="3"/>
  <c r="B249" i="3"/>
  <c r="I248" i="3"/>
  <c r="G248" i="3"/>
  <c r="H248" i="3"/>
  <c r="F248" i="3"/>
  <c r="C227" i="3"/>
  <c r="B228" i="3"/>
  <c r="I227" i="3"/>
  <c r="G227" i="3"/>
  <c r="H227" i="3"/>
  <c r="F227" i="3"/>
  <c r="B207" i="3"/>
  <c r="I206" i="3"/>
  <c r="G206" i="3"/>
  <c r="H206" i="3"/>
  <c r="F206" i="3"/>
  <c r="C207" i="3"/>
  <c r="H185" i="3"/>
  <c r="F185" i="3"/>
  <c r="B186" i="3"/>
  <c r="I185" i="3"/>
  <c r="G185" i="3"/>
  <c r="C185" i="3"/>
  <c r="C165" i="3"/>
  <c r="H164" i="3"/>
  <c r="F164" i="3"/>
  <c r="I164" i="3"/>
  <c r="B165" i="3"/>
  <c r="G164" i="3"/>
  <c r="H142" i="3"/>
  <c r="F142" i="3"/>
  <c r="B143" i="3"/>
  <c r="D143" i="3" s="1"/>
  <c r="I142" i="3"/>
  <c r="G142" i="3"/>
  <c r="C144" i="3"/>
  <c r="H122" i="3"/>
  <c r="F122" i="3"/>
  <c r="B123" i="3"/>
  <c r="I122" i="3"/>
  <c r="G122" i="3"/>
  <c r="C122" i="3"/>
  <c r="C101" i="3"/>
  <c r="B102" i="3"/>
  <c r="I101" i="3"/>
  <c r="G101" i="3"/>
  <c r="H101" i="3"/>
  <c r="F101" i="3"/>
  <c r="H80" i="3"/>
  <c r="F80" i="3"/>
  <c r="B81" i="3"/>
  <c r="I80" i="3"/>
  <c r="G80" i="3"/>
  <c r="C80" i="3"/>
  <c r="H37" i="3"/>
  <c r="G37" i="3"/>
  <c r="I37" i="3"/>
  <c r="F37" i="3"/>
  <c r="C17" i="3"/>
  <c r="H58" i="3"/>
  <c r="F58" i="3"/>
  <c r="B59" i="3"/>
  <c r="I58" i="3"/>
  <c r="G58" i="3"/>
  <c r="C58" i="3"/>
  <c r="C37" i="3"/>
  <c r="B38" i="3"/>
  <c r="H14" i="3"/>
  <c r="G14" i="3"/>
  <c r="F14" i="3"/>
  <c r="I14" i="3"/>
  <c r="B15" i="3"/>
  <c r="C146" i="6" l="1"/>
  <c r="H144" i="6"/>
  <c r="F144" i="6"/>
  <c r="B145" i="6"/>
  <c r="I144" i="6"/>
  <c r="G144" i="6"/>
  <c r="B20" i="6"/>
  <c r="I19" i="6"/>
  <c r="G19" i="6"/>
  <c r="H19" i="6"/>
  <c r="F19" i="6"/>
  <c r="B271" i="6"/>
  <c r="H270" i="6"/>
  <c r="F270" i="6"/>
  <c r="I270" i="6"/>
  <c r="G270" i="6"/>
  <c r="H62" i="6"/>
  <c r="F62" i="6"/>
  <c r="B63" i="6"/>
  <c r="I62" i="6"/>
  <c r="G62" i="6"/>
  <c r="E123" i="6"/>
  <c r="C124" i="6"/>
  <c r="D123" i="6"/>
  <c r="H292" i="6"/>
  <c r="F292" i="6"/>
  <c r="B293" i="6"/>
  <c r="I292" i="6"/>
  <c r="G292" i="6"/>
  <c r="E165" i="6"/>
  <c r="C166" i="6"/>
  <c r="D165" i="6"/>
  <c r="D270" i="6"/>
  <c r="H250" i="6"/>
  <c r="F250" i="6"/>
  <c r="B251" i="6"/>
  <c r="I250" i="6"/>
  <c r="G250" i="6"/>
  <c r="E103" i="6"/>
  <c r="C104" i="6"/>
  <c r="D103" i="6"/>
  <c r="H207" i="6"/>
  <c r="F207" i="6"/>
  <c r="B208" i="6"/>
  <c r="I207" i="6"/>
  <c r="G207" i="6"/>
  <c r="E207" i="6"/>
  <c r="E208" i="6"/>
  <c r="C209" i="6"/>
  <c r="D208" i="6"/>
  <c r="E249" i="6"/>
  <c r="C250" i="6"/>
  <c r="D249" i="6"/>
  <c r="D144" i="6"/>
  <c r="H81" i="6"/>
  <c r="F81" i="6"/>
  <c r="B82" i="6"/>
  <c r="I81" i="6"/>
  <c r="G81" i="6"/>
  <c r="E81" i="6"/>
  <c r="E82" i="6"/>
  <c r="C83" i="6"/>
  <c r="D82" i="6"/>
  <c r="H124" i="6"/>
  <c r="F124" i="6"/>
  <c r="B125" i="6"/>
  <c r="I124" i="6"/>
  <c r="G124" i="6"/>
  <c r="H229" i="6"/>
  <c r="F229" i="6"/>
  <c r="B230" i="6"/>
  <c r="I229" i="6"/>
  <c r="G229" i="6"/>
  <c r="C19" i="6"/>
  <c r="D18" i="6"/>
  <c r="E18" i="6"/>
  <c r="C188" i="6"/>
  <c r="H40" i="6"/>
  <c r="F40" i="6"/>
  <c r="B41" i="6"/>
  <c r="I40" i="6"/>
  <c r="G40" i="6"/>
  <c r="H102" i="6"/>
  <c r="F102" i="6"/>
  <c r="B103" i="6"/>
  <c r="I102" i="6"/>
  <c r="G102" i="6"/>
  <c r="E270" i="6"/>
  <c r="C272" i="6"/>
  <c r="H186" i="6"/>
  <c r="F186" i="6"/>
  <c r="B187" i="6"/>
  <c r="I186" i="6"/>
  <c r="G186" i="6"/>
  <c r="D102" i="6"/>
  <c r="E61" i="6"/>
  <c r="D61" i="6"/>
  <c r="C62" i="6"/>
  <c r="E291" i="6"/>
  <c r="C292" i="6"/>
  <c r="D291" i="6"/>
  <c r="D207" i="6"/>
  <c r="E40" i="6"/>
  <c r="E41" i="6"/>
  <c r="C42" i="6"/>
  <c r="D41" i="6"/>
  <c r="E228" i="6"/>
  <c r="C229" i="6"/>
  <c r="D228" i="6"/>
  <c r="H166" i="6"/>
  <c r="F166" i="6"/>
  <c r="B167" i="6"/>
  <c r="I166" i="6"/>
  <c r="G166" i="6"/>
  <c r="H60" i="5"/>
  <c r="B61" i="5"/>
  <c r="G60" i="5"/>
  <c r="F60" i="5"/>
  <c r="I60" i="5"/>
  <c r="B187" i="5"/>
  <c r="I186" i="5"/>
  <c r="G186" i="5"/>
  <c r="F186" i="5"/>
  <c r="H186" i="5"/>
  <c r="H165" i="5"/>
  <c r="F165" i="5"/>
  <c r="B166" i="5"/>
  <c r="I165" i="5"/>
  <c r="G165" i="5"/>
  <c r="B271" i="5"/>
  <c r="I270" i="5"/>
  <c r="G270" i="5"/>
  <c r="F270" i="5"/>
  <c r="H270" i="5"/>
  <c r="B82" i="5"/>
  <c r="I81" i="5"/>
  <c r="G81" i="5"/>
  <c r="H81" i="5"/>
  <c r="F81" i="5"/>
  <c r="D165" i="5"/>
  <c r="D270" i="5"/>
  <c r="E270" i="5"/>
  <c r="D186" i="5"/>
  <c r="E186" i="5"/>
  <c r="C250" i="5"/>
  <c r="D249" i="5"/>
  <c r="E249" i="5"/>
  <c r="E61" i="5"/>
  <c r="C62" i="5"/>
  <c r="D61" i="5"/>
  <c r="B209" i="5"/>
  <c r="I208" i="5"/>
  <c r="G208" i="5"/>
  <c r="H208" i="5"/>
  <c r="F208" i="5"/>
  <c r="C208" i="5"/>
  <c r="D207" i="5"/>
  <c r="E207" i="5"/>
  <c r="C230" i="5"/>
  <c r="C83" i="5"/>
  <c r="E82" i="5"/>
  <c r="E81" i="5"/>
  <c r="C104" i="5"/>
  <c r="C124" i="5"/>
  <c r="D123" i="5"/>
  <c r="E123" i="5"/>
  <c r="B145" i="5"/>
  <c r="I144" i="5"/>
  <c r="G144" i="5"/>
  <c r="H144" i="5"/>
  <c r="F144" i="5"/>
  <c r="E19" i="5"/>
  <c r="C20" i="5"/>
  <c r="D19" i="5"/>
  <c r="H20" i="5"/>
  <c r="F20" i="5"/>
  <c r="B21" i="5"/>
  <c r="I20" i="5"/>
  <c r="G20" i="5"/>
  <c r="B293" i="5"/>
  <c r="I292" i="5"/>
  <c r="G292" i="5"/>
  <c r="F292" i="5"/>
  <c r="H292" i="5"/>
  <c r="B251" i="5"/>
  <c r="I250" i="5"/>
  <c r="G250" i="5"/>
  <c r="H250" i="5"/>
  <c r="F250" i="5"/>
  <c r="E165" i="5"/>
  <c r="E166" i="5"/>
  <c r="C167" i="5"/>
  <c r="D166" i="5"/>
  <c r="C272" i="5"/>
  <c r="D271" i="5"/>
  <c r="E271" i="5"/>
  <c r="C42" i="5"/>
  <c r="B103" i="5"/>
  <c r="I102" i="5"/>
  <c r="G102" i="5"/>
  <c r="H102" i="5"/>
  <c r="F102" i="5"/>
  <c r="C292" i="5"/>
  <c r="D291" i="5"/>
  <c r="E291" i="5"/>
  <c r="C188" i="5"/>
  <c r="D187" i="5"/>
  <c r="E187" i="5"/>
  <c r="B229" i="5"/>
  <c r="I228" i="5"/>
  <c r="G228" i="5"/>
  <c r="H228" i="5"/>
  <c r="F228" i="5"/>
  <c r="C146" i="5"/>
  <c r="D145" i="5"/>
  <c r="E144" i="5"/>
  <c r="H40" i="5"/>
  <c r="F40" i="5"/>
  <c r="B41" i="5"/>
  <c r="I40" i="5"/>
  <c r="G40" i="5"/>
  <c r="D81" i="5"/>
  <c r="B125" i="5"/>
  <c r="I124" i="5"/>
  <c r="G124" i="5"/>
  <c r="F124" i="5"/>
  <c r="H124" i="5"/>
  <c r="D102" i="5"/>
  <c r="D290" i="3"/>
  <c r="E290" i="3"/>
  <c r="E269" i="3"/>
  <c r="D269" i="3"/>
  <c r="E248" i="3"/>
  <c r="D248" i="3"/>
  <c r="E227" i="3"/>
  <c r="D227" i="3"/>
  <c r="E207" i="3"/>
  <c r="D207" i="3"/>
  <c r="D185" i="3"/>
  <c r="E185" i="3"/>
  <c r="D165" i="3"/>
  <c r="E165" i="3"/>
  <c r="E143" i="3"/>
  <c r="D122" i="3"/>
  <c r="E122" i="3"/>
  <c r="D101" i="3"/>
  <c r="E101" i="3"/>
  <c r="D80" i="3"/>
  <c r="E80" i="3"/>
  <c r="D58" i="3"/>
  <c r="E58" i="3"/>
  <c r="E37" i="3"/>
  <c r="D37" i="3"/>
  <c r="E15" i="3"/>
  <c r="D15" i="3"/>
  <c r="H291" i="3"/>
  <c r="F291" i="3"/>
  <c r="B292" i="3"/>
  <c r="I291" i="3"/>
  <c r="G291" i="3"/>
  <c r="C291" i="3"/>
  <c r="H270" i="3"/>
  <c r="F270" i="3"/>
  <c r="B271" i="3"/>
  <c r="I270" i="3"/>
  <c r="G270" i="3"/>
  <c r="C270" i="3"/>
  <c r="H249" i="3"/>
  <c r="F249" i="3"/>
  <c r="B250" i="3"/>
  <c r="I249" i="3"/>
  <c r="G249" i="3"/>
  <c r="C249" i="3"/>
  <c r="H228" i="3"/>
  <c r="F228" i="3"/>
  <c r="B229" i="3"/>
  <c r="I228" i="3"/>
  <c r="G228" i="3"/>
  <c r="C228" i="3"/>
  <c r="C208" i="3"/>
  <c r="H207" i="3"/>
  <c r="F207" i="3"/>
  <c r="B208" i="3"/>
  <c r="I207" i="3"/>
  <c r="G207" i="3"/>
  <c r="C186" i="3"/>
  <c r="B187" i="3"/>
  <c r="I186" i="3"/>
  <c r="G186" i="3"/>
  <c r="H186" i="3"/>
  <c r="F186" i="3"/>
  <c r="B166" i="3"/>
  <c r="I165" i="3"/>
  <c r="G165" i="3"/>
  <c r="H165" i="3"/>
  <c r="F165" i="3"/>
  <c r="C166" i="3"/>
  <c r="C145" i="3"/>
  <c r="B144" i="3"/>
  <c r="D144" i="3" s="1"/>
  <c r="I143" i="3"/>
  <c r="G143" i="3"/>
  <c r="H143" i="3"/>
  <c r="F143" i="3"/>
  <c r="C123" i="3"/>
  <c r="B124" i="3"/>
  <c r="I123" i="3"/>
  <c r="G123" i="3"/>
  <c r="H123" i="3"/>
  <c r="F123" i="3"/>
  <c r="H102" i="3"/>
  <c r="F102" i="3"/>
  <c r="B103" i="3"/>
  <c r="I102" i="3"/>
  <c r="G102" i="3"/>
  <c r="C102" i="3"/>
  <c r="C81" i="3"/>
  <c r="B82" i="3"/>
  <c r="I81" i="3"/>
  <c r="G81" i="3"/>
  <c r="H81" i="3"/>
  <c r="F81" i="3"/>
  <c r="C18" i="3"/>
  <c r="H38" i="3"/>
  <c r="F38" i="3"/>
  <c r="G38" i="3"/>
  <c r="I38" i="3"/>
  <c r="C59" i="3"/>
  <c r="B60" i="3"/>
  <c r="I59" i="3"/>
  <c r="G59" i="3"/>
  <c r="H59" i="3"/>
  <c r="F59" i="3"/>
  <c r="C38" i="3"/>
  <c r="B39" i="3"/>
  <c r="H15" i="3"/>
  <c r="G15" i="3"/>
  <c r="F15" i="3"/>
  <c r="I15" i="3"/>
  <c r="B16" i="3"/>
  <c r="B168" i="6" l="1"/>
  <c r="I167" i="6"/>
  <c r="G167" i="6"/>
  <c r="H167" i="6"/>
  <c r="F167" i="6"/>
  <c r="C230" i="6"/>
  <c r="D229" i="6"/>
  <c r="E229" i="6"/>
  <c r="C293" i="6"/>
  <c r="D292" i="6"/>
  <c r="E292" i="6"/>
  <c r="C63" i="6"/>
  <c r="D62" i="6"/>
  <c r="E62" i="6"/>
  <c r="B188" i="6"/>
  <c r="I187" i="6"/>
  <c r="G187" i="6"/>
  <c r="H187" i="6"/>
  <c r="F187" i="6"/>
  <c r="C273" i="6"/>
  <c r="B42" i="6"/>
  <c r="I41" i="6"/>
  <c r="G41" i="6"/>
  <c r="H41" i="6"/>
  <c r="F41" i="6"/>
  <c r="C189" i="6"/>
  <c r="D188" i="6"/>
  <c r="E188" i="6"/>
  <c r="E19" i="6"/>
  <c r="D19" i="6"/>
  <c r="C20" i="6"/>
  <c r="B126" i="6"/>
  <c r="I125" i="6"/>
  <c r="G125" i="6"/>
  <c r="H125" i="6"/>
  <c r="F125" i="6"/>
  <c r="C84" i="6"/>
  <c r="C210" i="6"/>
  <c r="C167" i="6"/>
  <c r="D166" i="6"/>
  <c r="E166" i="6"/>
  <c r="C125" i="6"/>
  <c r="D124" i="6"/>
  <c r="E124" i="6"/>
  <c r="B64" i="6"/>
  <c r="I63" i="6"/>
  <c r="G63" i="6"/>
  <c r="F63" i="6"/>
  <c r="H63" i="6"/>
  <c r="B272" i="6"/>
  <c r="I271" i="6"/>
  <c r="G271" i="6"/>
  <c r="H271" i="6"/>
  <c r="F271" i="6"/>
  <c r="B146" i="6"/>
  <c r="I145" i="6"/>
  <c r="G145" i="6"/>
  <c r="H145" i="6"/>
  <c r="F145" i="6"/>
  <c r="C147" i="6"/>
  <c r="D146" i="6"/>
  <c r="E146" i="6"/>
  <c r="C43" i="6"/>
  <c r="D42" i="6"/>
  <c r="E42" i="6"/>
  <c r="D271" i="6"/>
  <c r="E271" i="6"/>
  <c r="B104" i="6"/>
  <c r="I103" i="6"/>
  <c r="G103" i="6"/>
  <c r="H103" i="6"/>
  <c r="F103" i="6"/>
  <c r="D187" i="6"/>
  <c r="E187" i="6"/>
  <c r="B231" i="6"/>
  <c r="I230" i="6"/>
  <c r="G230" i="6"/>
  <c r="H230" i="6"/>
  <c r="F230" i="6"/>
  <c r="B83" i="6"/>
  <c r="I82" i="6"/>
  <c r="G82" i="6"/>
  <c r="H82" i="6"/>
  <c r="F82" i="6"/>
  <c r="C251" i="6"/>
  <c r="D250" i="6"/>
  <c r="E250" i="6"/>
  <c r="B209" i="6"/>
  <c r="I208" i="6"/>
  <c r="G208" i="6"/>
  <c r="H208" i="6"/>
  <c r="F208" i="6"/>
  <c r="C105" i="6"/>
  <c r="D104" i="6"/>
  <c r="B252" i="6"/>
  <c r="I251" i="6"/>
  <c r="G251" i="6"/>
  <c r="H251" i="6"/>
  <c r="F251" i="6"/>
  <c r="B294" i="6"/>
  <c r="I293" i="6"/>
  <c r="G293" i="6"/>
  <c r="H293" i="6"/>
  <c r="F293" i="6"/>
  <c r="H20" i="6"/>
  <c r="F20" i="6"/>
  <c r="B21" i="6"/>
  <c r="I20" i="6"/>
  <c r="G20" i="6"/>
  <c r="D145" i="6"/>
  <c r="E145" i="6"/>
  <c r="I61" i="5"/>
  <c r="F61" i="5"/>
  <c r="B62" i="5"/>
  <c r="G61" i="5"/>
  <c r="H61" i="5"/>
  <c r="E144" i="3"/>
  <c r="H229" i="5"/>
  <c r="F229" i="5"/>
  <c r="B230" i="5"/>
  <c r="I229" i="5"/>
  <c r="G229" i="5"/>
  <c r="C189" i="5"/>
  <c r="H103" i="5"/>
  <c r="F103" i="5"/>
  <c r="B104" i="5"/>
  <c r="I103" i="5"/>
  <c r="G103" i="5"/>
  <c r="C43" i="5"/>
  <c r="H251" i="5"/>
  <c r="F251" i="5"/>
  <c r="B252" i="5"/>
  <c r="I251" i="5"/>
  <c r="G251" i="5"/>
  <c r="B22" i="5"/>
  <c r="I21" i="5"/>
  <c r="G21" i="5"/>
  <c r="H21" i="5"/>
  <c r="F21" i="5"/>
  <c r="C21" i="5"/>
  <c r="D20" i="5"/>
  <c r="E20" i="5"/>
  <c r="H145" i="5"/>
  <c r="F145" i="5"/>
  <c r="B146" i="5"/>
  <c r="I145" i="5"/>
  <c r="G145" i="5"/>
  <c r="E103" i="5"/>
  <c r="E104" i="5"/>
  <c r="C105" i="5"/>
  <c r="D104" i="5"/>
  <c r="C84" i="5"/>
  <c r="D229" i="5"/>
  <c r="E208" i="5"/>
  <c r="D208" i="5"/>
  <c r="C209" i="5"/>
  <c r="H82" i="5"/>
  <c r="F82" i="5"/>
  <c r="B83" i="5"/>
  <c r="I82" i="5"/>
  <c r="G82" i="5"/>
  <c r="B167" i="5"/>
  <c r="I166" i="5"/>
  <c r="G166" i="5"/>
  <c r="H166" i="5"/>
  <c r="F166" i="5"/>
  <c r="H125" i="5"/>
  <c r="F125" i="5"/>
  <c r="G125" i="5"/>
  <c r="B126" i="5"/>
  <c r="I125" i="5"/>
  <c r="B42" i="5"/>
  <c r="I41" i="5"/>
  <c r="G41" i="5"/>
  <c r="H41" i="5"/>
  <c r="F41" i="5"/>
  <c r="E145" i="5"/>
  <c r="E146" i="5"/>
  <c r="C147" i="5"/>
  <c r="D146" i="5"/>
  <c r="E292" i="5"/>
  <c r="C293" i="5"/>
  <c r="D292" i="5"/>
  <c r="D41" i="5"/>
  <c r="E41" i="5"/>
  <c r="C273" i="5"/>
  <c r="C168" i="5"/>
  <c r="D167" i="5"/>
  <c r="B294" i="5"/>
  <c r="H293" i="5"/>
  <c r="F293" i="5"/>
  <c r="G293" i="5"/>
  <c r="I293" i="5"/>
  <c r="E124" i="5"/>
  <c r="C125" i="5"/>
  <c r="D124" i="5"/>
  <c r="D103" i="5"/>
  <c r="D82" i="5"/>
  <c r="E229" i="5"/>
  <c r="C231" i="5"/>
  <c r="H209" i="5"/>
  <c r="F209" i="5"/>
  <c r="B210" i="5"/>
  <c r="I209" i="5"/>
  <c r="G209" i="5"/>
  <c r="C63" i="5"/>
  <c r="D62" i="5"/>
  <c r="E62" i="5"/>
  <c r="E250" i="5"/>
  <c r="D250" i="5"/>
  <c r="C251" i="5"/>
  <c r="H271" i="5"/>
  <c r="F271" i="5"/>
  <c r="G271" i="5"/>
  <c r="B272" i="5"/>
  <c r="I271" i="5"/>
  <c r="H187" i="5"/>
  <c r="F187" i="5"/>
  <c r="G187" i="5"/>
  <c r="B188" i="5"/>
  <c r="D188" i="5" s="1"/>
  <c r="I187" i="5"/>
  <c r="D291" i="3"/>
  <c r="E291" i="3"/>
  <c r="E270" i="3"/>
  <c r="D270" i="3"/>
  <c r="E249" i="3"/>
  <c r="D249" i="3"/>
  <c r="E228" i="3"/>
  <c r="D228" i="3"/>
  <c r="E208" i="3"/>
  <c r="D208" i="3"/>
  <c r="D186" i="3"/>
  <c r="E186" i="3"/>
  <c r="D166" i="3"/>
  <c r="E166" i="3"/>
  <c r="D123" i="3"/>
  <c r="E123" i="3"/>
  <c r="D102" i="3"/>
  <c r="E102" i="3"/>
  <c r="D81" i="3"/>
  <c r="E81" i="3"/>
  <c r="D59" i="3"/>
  <c r="E59" i="3"/>
  <c r="E38" i="3"/>
  <c r="D38" i="3"/>
  <c r="D16" i="3"/>
  <c r="E16" i="3"/>
  <c r="C292" i="3"/>
  <c r="I292" i="3"/>
  <c r="G292" i="3"/>
  <c r="B293" i="3"/>
  <c r="H292" i="3"/>
  <c r="F292" i="3"/>
  <c r="C271" i="3"/>
  <c r="I271" i="3"/>
  <c r="G271" i="3"/>
  <c r="B272" i="3"/>
  <c r="H271" i="3"/>
  <c r="F271" i="3"/>
  <c r="C250" i="3"/>
  <c r="I250" i="3"/>
  <c r="G250" i="3"/>
  <c r="B251" i="3"/>
  <c r="H250" i="3"/>
  <c r="F250" i="3"/>
  <c r="C229" i="3"/>
  <c r="I229" i="3"/>
  <c r="G229" i="3"/>
  <c r="B230" i="3"/>
  <c r="H229" i="3"/>
  <c r="F229" i="3"/>
  <c r="I208" i="3"/>
  <c r="G208" i="3"/>
  <c r="B209" i="3"/>
  <c r="H208" i="3"/>
  <c r="F208" i="3"/>
  <c r="C209" i="3"/>
  <c r="B188" i="3"/>
  <c r="H187" i="3"/>
  <c r="F187" i="3"/>
  <c r="I187" i="3"/>
  <c r="G187" i="3"/>
  <c r="C187" i="3"/>
  <c r="C167" i="3"/>
  <c r="B167" i="3"/>
  <c r="H166" i="3"/>
  <c r="F166" i="3"/>
  <c r="I166" i="3"/>
  <c r="G166" i="3"/>
  <c r="H144" i="3"/>
  <c r="F144" i="3"/>
  <c r="B145" i="3"/>
  <c r="D145" i="3" s="1"/>
  <c r="I144" i="3"/>
  <c r="G144" i="3"/>
  <c r="C146" i="3"/>
  <c r="B125" i="3"/>
  <c r="H124" i="3"/>
  <c r="F124" i="3"/>
  <c r="I124" i="3"/>
  <c r="G124" i="3"/>
  <c r="C124" i="3"/>
  <c r="C103" i="3"/>
  <c r="I103" i="3"/>
  <c r="G103" i="3"/>
  <c r="B104" i="3"/>
  <c r="H103" i="3"/>
  <c r="F103" i="3"/>
  <c r="B83" i="3"/>
  <c r="H82" i="3"/>
  <c r="F82" i="3"/>
  <c r="I82" i="3"/>
  <c r="G82" i="3"/>
  <c r="C82" i="3"/>
  <c r="H39" i="3"/>
  <c r="F39" i="3"/>
  <c r="G39" i="3"/>
  <c r="I39" i="3"/>
  <c r="C19" i="3"/>
  <c r="H60" i="3"/>
  <c r="F60" i="3"/>
  <c r="B61" i="3"/>
  <c r="I60" i="3"/>
  <c r="G60" i="3"/>
  <c r="C60" i="3"/>
  <c r="C39" i="3"/>
  <c r="B40" i="3"/>
  <c r="H16" i="3"/>
  <c r="G16" i="3"/>
  <c r="F16" i="3"/>
  <c r="I16" i="3"/>
  <c r="B17" i="3"/>
  <c r="B22" i="6" l="1"/>
  <c r="I21" i="6"/>
  <c r="G21" i="6"/>
  <c r="F21" i="6"/>
  <c r="H21" i="6"/>
  <c r="H252" i="6"/>
  <c r="F252" i="6"/>
  <c r="B253" i="6"/>
  <c r="I252" i="6"/>
  <c r="G252" i="6"/>
  <c r="H209" i="6"/>
  <c r="F209" i="6"/>
  <c r="B210" i="6"/>
  <c r="I209" i="6"/>
  <c r="G209" i="6"/>
  <c r="H83" i="6"/>
  <c r="F83" i="6"/>
  <c r="B84" i="6"/>
  <c r="I83" i="6"/>
  <c r="G83" i="6"/>
  <c r="H104" i="6"/>
  <c r="F104" i="6"/>
  <c r="B105" i="6"/>
  <c r="I104" i="6"/>
  <c r="G104" i="6"/>
  <c r="C148" i="6"/>
  <c r="H272" i="6"/>
  <c r="F272" i="6"/>
  <c r="B273" i="6"/>
  <c r="I272" i="6"/>
  <c r="G272" i="6"/>
  <c r="E125" i="6"/>
  <c r="C126" i="6"/>
  <c r="D125" i="6"/>
  <c r="E209" i="6"/>
  <c r="E210" i="6"/>
  <c r="C211" i="6"/>
  <c r="D210" i="6"/>
  <c r="D83" i="6"/>
  <c r="H126" i="6"/>
  <c r="F126" i="6"/>
  <c r="B127" i="6"/>
  <c r="I126" i="6"/>
  <c r="G126" i="6"/>
  <c r="E189" i="6"/>
  <c r="C190" i="6"/>
  <c r="D189" i="6"/>
  <c r="E272" i="6"/>
  <c r="E273" i="6"/>
  <c r="C274" i="6"/>
  <c r="D273" i="6"/>
  <c r="E63" i="6"/>
  <c r="C64" i="6"/>
  <c r="D63" i="6"/>
  <c r="E230" i="6"/>
  <c r="C231" i="6"/>
  <c r="D230" i="6"/>
  <c r="H294" i="6"/>
  <c r="F294" i="6"/>
  <c r="B295" i="6"/>
  <c r="I294" i="6"/>
  <c r="G294" i="6"/>
  <c r="E104" i="6"/>
  <c r="E105" i="6"/>
  <c r="C106" i="6"/>
  <c r="D105" i="6"/>
  <c r="E251" i="6"/>
  <c r="C252" i="6"/>
  <c r="D251" i="6"/>
  <c r="H231" i="6"/>
  <c r="F231" i="6"/>
  <c r="B232" i="6"/>
  <c r="I231" i="6"/>
  <c r="G231" i="6"/>
  <c r="C44" i="6"/>
  <c r="H146" i="6"/>
  <c r="F146" i="6"/>
  <c r="B147" i="6"/>
  <c r="I146" i="6"/>
  <c r="G146" i="6"/>
  <c r="H64" i="6"/>
  <c r="F64" i="6"/>
  <c r="G64" i="6"/>
  <c r="B65" i="6"/>
  <c r="I64" i="6"/>
  <c r="E167" i="6"/>
  <c r="C168" i="6"/>
  <c r="D167" i="6"/>
  <c r="D209" i="6"/>
  <c r="E83" i="6"/>
  <c r="C85" i="6"/>
  <c r="C21" i="6"/>
  <c r="D20" i="6"/>
  <c r="E20" i="6"/>
  <c r="H42" i="6"/>
  <c r="F42" i="6"/>
  <c r="B43" i="6"/>
  <c r="I42" i="6"/>
  <c r="G42" i="6"/>
  <c r="D272" i="6"/>
  <c r="H188" i="6"/>
  <c r="F188" i="6"/>
  <c r="B189" i="6"/>
  <c r="I188" i="6"/>
  <c r="G188" i="6"/>
  <c r="C294" i="6"/>
  <c r="E293" i="6"/>
  <c r="D293" i="6"/>
  <c r="H168" i="6"/>
  <c r="F168" i="6"/>
  <c r="B169" i="6"/>
  <c r="I168" i="6"/>
  <c r="G168" i="6"/>
  <c r="F62" i="5"/>
  <c r="B63" i="5"/>
  <c r="H62" i="5"/>
  <c r="G62" i="5"/>
  <c r="I62" i="5"/>
  <c r="B273" i="5"/>
  <c r="I272" i="5"/>
  <c r="G272" i="5"/>
  <c r="H272" i="5"/>
  <c r="F272" i="5"/>
  <c r="C252" i="5"/>
  <c r="D251" i="5"/>
  <c r="E251" i="5"/>
  <c r="B211" i="5"/>
  <c r="I210" i="5"/>
  <c r="G210" i="5"/>
  <c r="F210" i="5"/>
  <c r="H210" i="5"/>
  <c r="C232" i="5"/>
  <c r="C126" i="5"/>
  <c r="D125" i="5"/>
  <c r="E125" i="5"/>
  <c r="H294" i="5"/>
  <c r="F294" i="5"/>
  <c r="B295" i="5"/>
  <c r="I294" i="5"/>
  <c r="G294" i="5"/>
  <c r="C274" i="5"/>
  <c r="E273" i="5"/>
  <c r="E272" i="5"/>
  <c r="D293" i="5"/>
  <c r="C294" i="5"/>
  <c r="E293" i="5"/>
  <c r="H42" i="5"/>
  <c r="F42" i="5"/>
  <c r="B43" i="5"/>
  <c r="I42" i="5"/>
  <c r="G42" i="5"/>
  <c r="B127" i="5"/>
  <c r="I126" i="5"/>
  <c r="G126" i="5"/>
  <c r="H126" i="5"/>
  <c r="F126" i="5"/>
  <c r="H167" i="5"/>
  <c r="F167" i="5"/>
  <c r="B168" i="5"/>
  <c r="I167" i="5"/>
  <c r="G167" i="5"/>
  <c r="C210" i="5"/>
  <c r="D209" i="5"/>
  <c r="E209" i="5"/>
  <c r="C85" i="5"/>
  <c r="B147" i="5"/>
  <c r="I146" i="5"/>
  <c r="G146" i="5"/>
  <c r="F146" i="5"/>
  <c r="H146" i="5"/>
  <c r="H22" i="5"/>
  <c r="F22" i="5"/>
  <c r="B23" i="5"/>
  <c r="I22" i="5"/>
  <c r="G22" i="5"/>
  <c r="D42" i="5"/>
  <c r="B105" i="5"/>
  <c r="I104" i="5"/>
  <c r="G104" i="5"/>
  <c r="F104" i="5"/>
  <c r="H104" i="5"/>
  <c r="B231" i="5"/>
  <c r="D231" i="5" s="1"/>
  <c r="I230" i="5"/>
  <c r="G230" i="5"/>
  <c r="F230" i="5"/>
  <c r="H230" i="5"/>
  <c r="B189" i="5"/>
  <c r="I188" i="5"/>
  <c r="G188" i="5"/>
  <c r="H188" i="5"/>
  <c r="F188" i="5"/>
  <c r="E63" i="5"/>
  <c r="D63" i="5"/>
  <c r="C64" i="5"/>
  <c r="D230" i="5"/>
  <c r="E230" i="5"/>
  <c r="E167" i="5"/>
  <c r="E168" i="5"/>
  <c r="C169" i="5"/>
  <c r="D168" i="5"/>
  <c r="D272" i="5"/>
  <c r="C148" i="5"/>
  <c r="D147" i="5"/>
  <c r="B84" i="5"/>
  <c r="I83" i="5"/>
  <c r="G83" i="5"/>
  <c r="F83" i="5"/>
  <c r="H83" i="5"/>
  <c r="D83" i="5"/>
  <c r="E83" i="5"/>
  <c r="C106" i="5"/>
  <c r="D105" i="5"/>
  <c r="E21" i="5"/>
  <c r="C22" i="5"/>
  <c r="D21" i="5"/>
  <c r="B253" i="5"/>
  <c r="I252" i="5"/>
  <c r="G252" i="5"/>
  <c r="F252" i="5"/>
  <c r="H252" i="5"/>
  <c r="E42" i="5"/>
  <c r="E43" i="5"/>
  <c r="C44" i="5"/>
  <c r="D43" i="5"/>
  <c r="C190" i="5"/>
  <c r="D189" i="5"/>
  <c r="E189" i="5"/>
  <c r="E188" i="5"/>
  <c r="D292" i="3"/>
  <c r="E292" i="3"/>
  <c r="E271" i="3"/>
  <c r="D271" i="3"/>
  <c r="E250" i="3"/>
  <c r="D250" i="3"/>
  <c r="E229" i="3"/>
  <c r="D229" i="3"/>
  <c r="E209" i="3"/>
  <c r="D209" i="3"/>
  <c r="D187" i="3"/>
  <c r="E187" i="3"/>
  <c r="D167" i="3"/>
  <c r="E167" i="3"/>
  <c r="E145" i="3"/>
  <c r="D124" i="3"/>
  <c r="E124" i="3"/>
  <c r="D103" i="3"/>
  <c r="E103" i="3"/>
  <c r="D82" i="3"/>
  <c r="E82" i="3"/>
  <c r="D60" i="3"/>
  <c r="E60" i="3"/>
  <c r="E39" i="3"/>
  <c r="D39" i="3"/>
  <c r="E17" i="3"/>
  <c r="D17" i="3"/>
  <c r="B294" i="3"/>
  <c r="I293" i="3"/>
  <c r="G293" i="3"/>
  <c r="H293" i="3"/>
  <c r="F293" i="3"/>
  <c r="C293" i="3"/>
  <c r="B273" i="3"/>
  <c r="I272" i="3"/>
  <c r="G272" i="3"/>
  <c r="H272" i="3"/>
  <c r="F272" i="3"/>
  <c r="C272" i="3"/>
  <c r="B252" i="3"/>
  <c r="I251" i="3"/>
  <c r="G251" i="3"/>
  <c r="H251" i="3"/>
  <c r="F251" i="3"/>
  <c r="C251" i="3"/>
  <c r="B231" i="3"/>
  <c r="I230" i="3"/>
  <c r="G230" i="3"/>
  <c r="H230" i="3"/>
  <c r="F230" i="3"/>
  <c r="C230" i="3"/>
  <c r="C210" i="3"/>
  <c r="B210" i="3"/>
  <c r="I209" i="3"/>
  <c r="G209" i="3"/>
  <c r="H209" i="3"/>
  <c r="F209" i="3"/>
  <c r="C188" i="3"/>
  <c r="B189" i="3"/>
  <c r="I188" i="3"/>
  <c r="G188" i="3"/>
  <c r="H188" i="3"/>
  <c r="F188" i="3"/>
  <c r="C168" i="3"/>
  <c r="B168" i="3"/>
  <c r="I167" i="3"/>
  <c r="G167" i="3"/>
  <c r="F167" i="3"/>
  <c r="H167" i="3"/>
  <c r="C147" i="3"/>
  <c r="B146" i="3"/>
  <c r="D146" i="3" s="1"/>
  <c r="I145" i="3"/>
  <c r="G145" i="3"/>
  <c r="H145" i="3"/>
  <c r="F145" i="3"/>
  <c r="C125" i="3"/>
  <c r="B126" i="3"/>
  <c r="I125" i="3"/>
  <c r="G125" i="3"/>
  <c r="F125" i="3"/>
  <c r="H125" i="3"/>
  <c r="B105" i="3"/>
  <c r="I104" i="3"/>
  <c r="G104" i="3"/>
  <c r="H104" i="3"/>
  <c r="F104" i="3"/>
  <c r="C104" i="3"/>
  <c r="C83" i="3"/>
  <c r="B84" i="3"/>
  <c r="I83" i="3"/>
  <c r="G83" i="3"/>
  <c r="H83" i="3"/>
  <c r="F83" i="3"/>
  <c r="H40" i="3"/>
  <c r="F40" i="3"/>
  <c r="G40" i="3"/>
  <c r="I40" i="3"/>
  <c r="C20" i="3"/>
  <c r="C61" i="3"/>
  <c r="I61" i="3"/>
  <c r="G61" i="3"/>
  <c r="B62" i="3"/>
  <c r="H61" i="3"/>
  <c r="F61" i="3"/>
  <c r="C40" i="3"/>
  <c r="B41" i="3"/>
  <c r="H17" i="3"/>
  <c r="G17" i="3"/>
  <c r="F17" i="3"/>
  <c r="I17" i="3"/>
  <c r="B18" i="3"/>
  <c r="C295" i="6" l="1"/>
  <c r="D294" i="6"/>
  <c r="E294" i="6"/>
  <c r="E21" i="6"/>
  <c r="C22" i="6"/>
  <c r="D21" i="6"/>
  <c r="C86" i="6"/>
  <c r="B66" i="6"/>
  <c r="I65" i="6"/>
  <c r="G65" i="6"/>
  <c r="H65" i="6"/>
  <c r="F65" i="6"/>
  <c r="B148" i="6"/>
  <c r="I147" i="6"/>
  <c r="G147" i="6"/>
  <c r="H147" i="6"/>
  <c r="F147" i="6"/>
  <c r="C45" i="6"/>
  <c r="B233" i="6"/>
  <c r="I232" i="6"/>
  <c r="G232" i="6"/>
  <c r="H232" i="6"/>
  <c r="F232" i="6"/>
  <c r="B296" i="6"/>
  <c r="I295" i="6"/>
  <c r="G295" i="6"/>
  <c r="H295" i="6"/>
  <c r="F295" i="6"/>
  <c r="C232" i="6"/>
  <c r="D231" i="6"/>
  <c r="E231" i="6"/>
  <c r="C65" i="6"/>
  <c r="D64" i="6"/>
  <c r="E64" i="6"/>
  <c r="C212" i="6"/>
  <c r="D147" i="6"/>
  <c r="E147" i="6"/>
  <c r="B85" i="6"/>
  <c r="I84" i="6"/>
  <c r="G84" i="6"/>
  <c r="H84" i="6"/>
  <c r="F84" i="6"/>
  <c r="B254" i="6"/>
  <c r="I253" i="6"/>
  <c r="G253" i="6"/>
  <c r="H253" i="6"/>
  <c r="F253" i="6"/>
  <c r="B170" i="6"/>
  <c r="I169" i="6"/>
  <c r="G169" i="6"/>
  <c r="H169" i="6"/>
  <c r="F169" i="6"/>
  <c r="B190" i="6"/>
  <c r="I189" i="6"/>
  <c r="G189" i="6"/>
  <c r="H189" i="6"/>
  <c r="F189" i="6"/>
  <c r="B44" i="6"/>
  <c r="I43" i="6"/>
  <c r="G43" i="6"/>
  <c r="H43" i="6"/>
  <c r="F43" i="6"/>
  <c r="D84" i="6"/>
  <c r="E84" i="6"/>
  <c r="C169" i="6"/>
  <c r="D168" i="6"/>
  <c r="E168" i="6"/>
  <c r="D43" i="6"/>
  <c r="E43" i="6"/>
  <c r="C253" i="6"/>
  <c r="D252" i="6"/>
  <c r="E252" i="6"/>
  <c r="C107" i="6"/>
  <c r="E106" i="6"/>
  <c r="C275" i="6"/>
  <c r="D274" i="6"/>
  <c r="C191" i="6"/>
  <c r="D190" i="6"/>
  <c r="E190" i="6"/>
  <c r="B128" i="6"/>
  <c r="I127" i="6"/>
  <c r="G127" i="6"/>
  <c r="H127" i="6"/>
  <c r="F127" i="6"/>
  <c r="C127" i="6"/>
  <c r="D126" i="6"/>
  <c r="E126" i="6"/>
  <c r="B274" i="6"/>
  <c r="I273" i="6"/>
  <c r="G273" i="6"/>
  <c r="H273" i="6"/>
  <c r="F273" i="6"/>
  <c r="C149" i="6"/>
  <c r="E148" i="6"/>
  <c r="B106" i="6"/>
  <c r="I105" i="6"/>
  <c r="G105" i="6"/>
  <c r="H105" i="6"/>
  <c r="F105" i="6"/>
  <c r="B211" i="6"/>
  <c r="I210" i="6"/>
  <c r="G210" i="6"/>
  <c r="H210" i="6"/>
  <c r="F210" i="6"/>
  <c r="H22" i="6"/>
  <c r="F22" i="6"/>
  <c r="G22" i="6"/>
  <c r="B23" i="6"/>
  <c r="I22" i="6"/>
  <c r="E146" i="3"/>
  <c r="I63" i="5"/>
  <c r="H63" i="5"/>
  <c r="B64" i="5"/>
  <c r="G63" i="5"/>
  <c r="F63" i="5"/>
  <c r="C191" i="5"/>
  <c r="C45" i="5"/>
  <c r="H84" i="5"/>
  <c r="F84" i="5"/>
  <c r="G84" i="5"/>
  <c r="B85" i="5"/>
  <c r="I84" i="5"/>
  <c r="C65" i="5"/>
  <c r="D64" i="5"/>
  <c r="E64" i="5"/>
  <c r="H105" i="5"/>
  <c r="F105" i="5"/>
  <c r="G105" i="5"/>
  <c r="B106" i="5"/>
  <c r="I105" i="5"/>
  <c r="B148" i="5"/>
  <c r="H147" i="5"/>
  <c r="F147" i="5"/>
  <c r="G147" i="5"/>
  <c r="I147" i="5"/>
  <c r="D84" i="5"/>
  <c r="E210" i="5"/>
  <c r="C211" i="5"/>
  <c r="D210" i="5"/>
  <c r="H127" i="5"/>
  <c r="F127" i="5"/>
  <c r="B128" i="5"/>
  <c r="I127" i="5"/>
  <c r="G127" i="5"/>
  <c r="C275" i="5"/>
  <c r="E126" i="5"/>
  <c r="D126" i="5"/>
  <c r="C127" i="5"/>
  <c r="H211" i="5"/>
  <c r="F211" i="5"/>
  <c r="G211" i="5"/>
  <c r="B212" i="5"/>
  <c r="I211" i="5"/>
  <c r="H273" i="5"/>
  <c r="F273" i="5"/>
  <c r="B274" i="5"/>
  <c r="I273" i="5"/>
  <c r="G273" i="5"/>
  <c r="H253" i="5"/>
  <c r="F253" i="5"/>
  <c r="G253" i="5"/>
  <c r="B254" i="5"/>
  <c r="I253" i="5"/>
  <c r="C23" i="5"/>
  <c r="D22" i="5"/>
  <c r="E22" i="5"/>
  <c r="E105" i="5"/>
  <c r="E106" i="5"/>
  <c r="C107" i="5"/>
  <c r="E147" i="5"/>
  <c r="C149" i="5"/>
  <c r="E148" i="5"/>
  <c r="C170" i="5"/>
  <c r="H189" i="5"/>
  <c r="F189" i="5"/>
  <c r="B190" i="5"/>
  <c r="I189" i="5"/>
  <c r="G189" i="5"/>
  <c r="H231" i="5"/>
  <c r="F231" i="5"/>
  <c r="G231" i="5"/>
  <c r="B232" i="5"/>
  <c r="I231" i="5"/>
  <c r="B24" i="5"/>
  <c r="I23" i="5"/>
  <c r="G23" i="5"/>
  <c r="H23" i="5"/>
  <c r="F23" i="5"/>
  <c r="E84" i="5"/>
  <c r="E85" i="5"/>
  <c r="D85" i="5"/>
  <c r="C86" i="5"/>
  <c r="B169" i="5"/>
  <c r="I168" i="5"/>
  <c r="G168" i="5"/>
  <c r="H168" i="5"/>
  <c r="F168" i="5"/>
  <c r="B44" i="5"/>
  <c r="D44" i="5" s="1"/>
  <c r="I43" i="5"/>
  <c r="G43" i="5"/>
  <c r="H43" i="5"/>
  <c r="F43" i="5"/>
  <c r="C295" i="5"/>
  <c r="D294" i="5"/>
  <c r="E294" i="5"/>
  <c r="D273" i="5"/>
  <c r="B296" i="5"/>
  <c r="I295" i="5"/>
  <c r="G295" i="5"/>
  <c r="F295" i="5"/>
  <c r="H295" i="5"/>
  <c r="E231" i="5"/>
  <c r="E232" i="5"/>
  <c r="C233" i="5"/>
  <c r="E252" i="5"/>
  <c r="C253" i="5"/>
  <c r="D252" i="5"/>
  <c r="D293" i="3"/>
  <c r="E293" i="3"/>
  <c r="E272" i="3"/>
  <c r="D272" i="3"/>
  <c r="E251" i="3"/>
  <c r="D251" i="3"/>
  <c r="E230" i="3"/>
  <c r="D230" i="3"/>
  <c r="E210" i="3"/>
  <c r="D210" i="3"/>
  <c r="D188" i="3"/>
  <c r="E188" i="3"/>
  <c r="D168" i="3"/>
  <c r="E168" i="3"/>
  <c r="D125" i="3"/>
  <c r="E125" i="3"/>
  <c r="D104" i="3"/>
  <c r="E104" i="3"/>
  <c r="D83" i="3"/>
  <c r="E83" i="3"/>
  <c r="D61" i="3"/>
  <c r="E61" i="3"/>
  <c r="E40" i="3"/>
  <c r="D40" i="3"/>
  <c r="D18" i="3"/>
  <c r="E18" i="3"/>
  <c r="C294" i="3"/>
  <c r="H294" i="3"/>
  <c r="F294" i="3"/>
  <c r="I294" i="3"/>
  <c r="B295" i="3"/>
  <c r="G294" i="3"/>
  <c r="C273" i="3"/>
  <c r="H273" i="3"/>
  <c r="F273" i="3"/>
  <c r="I273" i="3"/>
  <c r="B274" i="3"/>
  <c r="G273" i="3"/>
  <c r="C252" i="3"/>
  <c r="H252" i="3"/>
  <c r="F252" i="3"/>
  <c r="I252" i="3"/>
  <c r="B253" i="3"/>
  <c r="G252" i="3"/>
  <c r="C231" i="3"/>
  <c r="H231" i="3"/>
  <c r="F231" i="3"/>
  <c r="I231" i="3"/>
  <c r="B232" i="3"/>
  <c r="G231" i="3"/>
  <c r="H210" i="3"/>
  <c r="F210" i="3"/>
  <c r="I210" i="3"/>
  <c r="B211" i="3"/>
  <c r="G210" i="3"/>
  <c r="C211" i="3"/>
  <c r="H189" i="3"/>
  <c r="F189" i="3"/>
  <c r="B190" i="3"/>
  <c r="I189" i="3"/>
  <c r="G189" i="3"/>
  <c r="C189" i="3"/>
  <c r="H168" i="3"/>
  <c r="F168" i="3"/>
  <c r="B169" i="3"/>
  <c r="G168" i="3"/>
  <c r="I168" i="3"/>
  <c r="C169" i="3"/>
  <c r="H146" i="3"/>
  <c r="F146" i="3"/>
  <c r="I146" i="3"/>
  <c r="B147" i="3"/>
  <c r="D147" i="3" s="1"/>
  <c r="G146" i="3"/>
  <c r="C148" i="3"/>
  <c r="H126" i="3"/>
  <c r="F126" i="3"/>
  <c r="B127" i="3"/>
  <c r="G126" i="3"/>
  <c r="I126" i="3"/>
  <c r="C126" i="3"/>
  <c r="C105" i="3"/>
  <c r="H105" i="3"/>
  <c r="F105" i="3"/>
  <c r="I105" i="3"/>
  <c r="B106" i="3"/>
  <c r="G105" i="3"/>
  <c r="H84" i="3"/>
  <c r="F84" i="3"/>
  <c r="B85" i="3"/>
  <c r="I84" i="3"/>
  <c r="G84" i="3"/>
  <c r="C84" i="3"/>
  <c r="H41" i="3"/>
  <c r="F41" i="3"/>
  <c r="G41" i="3"/>
  <c r="I41" i="3"/>
  <c r="C21" i="3"/>
  <c r="B63" i="3"/>
  <c r="I62" i="3"/>
  <c r="G62" i="3"/>
  <c r="H62" i="3"/>
  <c r="F62" i="3"/>
  <c r="C62" i="3"/>
  <c r="C41" i="3"/>
  <c r="B42" i="3"/>
  <c r="H18" i="3"/>
  <c r="G18" i="3"/>
  <c r="F18" i="3"/>
  <c r="I18" i="3"/>
  <c r="B19" i="3"/>
  <c r="B24" i="6" l="1"/>
  <c r="I23" i="6"/>
  <c r="G23" i="6"/>
  <c r="H23" i="6"/>
  <c r="F23" i="6"/>
  <c r="H211" i="6"/>
  <c r="F211" i="6"/>
  <c r="B212" i="6"/>
  <c r="I211" i="6"/>
  <c r="G211" i="6"/>
  <c r="C150" i="6"/>
  <c r="E127" i="6"/>
  <c r="C128" i="6"/>
  <c r="D127" i="6"/>
  <c r="C192" i="6"/>
  <c r="C108" i="6"/>
  <c r="H44" i="6"/>
  <c r="F44" i="6"/>
  <c r="B45" i="6"/>
  <c r="E45" i="6" s="1"/>
  <c r="I44" i="6"/>
  <c r="G44" i="6"/>
  <c r="H170" i="6"/>
  <c r="F170" i="6"/>
  <c r="B171" i="6"/>
  <c r="I170" i="6"/>
  <c r="G170" i="6"/>
  <c r="H85" i="6"/>
  <c r="F85" i="6"/>
  <c r="B86" i="6"/>
  <c r="I85" i="6"/>
  <c r="G85" i="6"/>
  <c r="D211" i="6"/>
  <c r="E65" i="6"/>
  <c r="D65" i="6"/>
  <c r="C66" i="6"/>
  <c r="H296" i="6"/>
  <c r="F296" i="6"/>
  <c r="B297" i="6"/>
  <c r="I296" i="6"/>
  <c r="G296" i="6"/>
  <c r="D44" i="6"/>
  <c r="H148" i="6"/>
  <c r="F148" i="6"/>
  <c r="B149" i="6"/>
  <c r="I148" i="6"/>
  <c r="G148" i="6"/>
  <c r="E85" i="6"/>
  <c r="E86" i="6"/>
  <c r="C87" i="6"/>
  <c r="D86" i="6"/>
  <c r="C23" i="6"/>
  <c r="D22" i="6"/>
  <c r="E22" i="6"/>
  <c r="H106" i="6"/>
  <c r="F106" i="6"/>
  <c r="B107" i="6"/>
  <c r="I106" i="6"/>
  <c r="G106" i="6"/>
  <c r="D148" i="6"/>
  <c r="H274" i="6"/>
  <c r="F274" i="6"/>
  <c r="B275" i="6"/>
  <c r="I274" i="6"/>
  <c r="G274" i="6"/>
  <c r="H128" i="6"/>
  <c r="F128" i="6"/>
  <c r="B129" i="6"/>
  <c r="I128" i="6"/>
  <c r="G128" i="6"/>
  <c r="E274" i="6"/>
  <c r="E275" i="6"/>
  <c r="C276" i="6"/>
  <c r="D275" i="6"/>
  <c r="D106" i="6"/>
  <c r="E253" i="6"/>
  <c r="C254" i="6"/>
  <c r="D253" i="6"/>
  <c r="E169" i="6"/>
  <c r="C170" i="6"/>
  <c r="D169" i="6"/>
  <c r="H190" i="6"/>
  <c r="F190" i="6"/>
  <c r="B191" i="6"/>
  <c r="I190" i="6"/>
  <c r="G190" i="6"/>
  <c r="H254" i="6"/>
  <c r="F254" i="6"/>
  <c r="B255" i="6"/>
  <c r="I254" i="6"/>
  <c r="G254" i="6"/>
  <c r="E211" i="6"/>
  <c r="C213" i="6"/>
  <c r="E232" i="6"/>
  <c r="C233" i="6"/>
  <c r="D232" i="6"/>
  <c r="H233" i="6"/>
  <c r="F233" i="6"/>
  <c r="B234" i="6"/>
  <c r="I233" i="6"/>
  <c r="G233" i="6"/>
  <c r="E44" i="6"/>
  <c r="C46" i="6"/>
  <c r="H66" i="6"/>
  <c r="F66" i="6"/>
  <c r="B67" i="6"/>
  <c r="I66" i="6"/>
  <c r="G66" i="6"/>
  <c r="D85" i="6"/>
  <c r="E295" i="6"/>
  <c r="C296" i="6"/>
  <c r="D295" i="6"/>
  <c r="F64" i="5"/>
  <c r="I64" i="5"/>
  <c r="H64" i="5"/>
  <c r="B65" i="5"/>
  <c r="G64" i="5"/>
  <c r="C254" i="5"/>
  <c r="D253" i="5"/>
  <c r="E253" i="5"/>
  <c r="C234" i="5"/>
  <c r="H296" i="5"/>
  <c r="F296" i="5"/>
  <c r="G296" i="5"/>
  <c r="B297" i="5"/>
  <c r="I296" i="5"/>
  <c r="E295" i="5"/>
  <c r="C296" i="5"/>
  <c r="D295" i="5"/>
  <c r="H169" i="5"/>
  <c r="F169" i="5"/>
  <c r="B170" i="5"/>
  <c r="I169" i="5"/>
  <c r="G169" i="5"/>
  <c r="H24" i="5"/>
  <c r="F24" i="5"/>
  <c r="B25" i="5"/>
  <c r="I24" i="5"/>
  <c r="G24" i="5"/>
  <c r="B233" i="5"/>
  <c r="I232" i="5"/>
  <c r="G232" i="5"/>
  <c r="H232" i="5"/>
  <c r="F232" i="5"/>
  <c r="B191" i="5"/>
  <c r="I190" i="5"/>
  <c r="G190" i="5"/>
  <c r="F190" i="5"/>
  <c r="H190" i="5"/>
  <c r="D169" i="5"/>
  <c r="C150" i="5"/>
  <c r="C108" i="5"/>
  <c r="E23" i="5"/>
  <c r="C24" i="5"/>
  <c r="D23" i="5"/>
  <c r="B255" i="5"/>
  <c r="I254" i="5"/>
  <c r="G254" i="5"/>
  <c r="H254" i="5"/>
  <c r="F254" i="5"/>
  <c r="B275" i="5"/>
  <c r="I274" i="5"/>
  <c r="G274" i="5"/>
  <c r="F274" i="5"/>
  <c r="H274" i="5"/>
  <c r="B213" i="5"/>
  <c r="I212" i="5"/>
  <c r="G212" i="5"/>
  <c r="H212" i="5"/>
  <c r="F212" i="5"/>
  <c r="C128" i="5"/>
  <c r="D127" i="5"/>
  <c r="E127" i="5"/>
  <c r="C276" i="5"/>
  <c r="D275" i="5"/>
  <c r="H148" i="5"/>
  <c r="F148" i="5"/>
  <c r="G148" i="5"/>
  <c r="B149" i="5"/>
  <c r="D149" i="5" s="1"/>
  <c r="I148" i="5"/>
  <c r="B107" i="5"/>
  <c r="E107" i="5" s="1"/>
  <c r="I106" i="5"/>
  <c r="G106" i="5"/>
  <c r="H106" i="5"/>
  <c r="F106" i="5"/>
  <c r="D190" i="5"/>
  <c r="E190" i="5"/>
  <c r="D232" i="5"/>
  <c r="H44" i="5"/>
  <c r="F44" i="5"/>
  <c r="B45" i="5"/>
  <c r="I44" i="5"/>
  <c r="G44" i="5"/>
  <c r="C87" i="5"/>
  <c r="E169" i="5"/>
  <c r="E170" i="5"/>
  <c r="C171" i="5"/>
  <c r="D170" i="5"/>
  <c r="D148" i="5"/>
  <c r="D106" i="5"/>
  <c r="D274" i="5"/>
  <c r="E274" i="5"/>
  <c r="B129" i="5"/>
  <c r="I128" i="5"/>
  <c r="G128" i="5"/>
  <c r="F128" i="5"/>
  <c r="H128" i="5"/>
  <c r="C212" i="5"/>
  <c r="D211" i="5"/>
  <c r="E211" i="5"/>
  <c r="E65" i="5"/>
  <c r="C66" i="5"/>
  <c r="D65" i="5"/>
  <c r="B86" i="5"/>
  <c r="I85" i="5"/>
  <c r="G85" i="5"/>
  <c r="H85" i="5"/>
  <c r="F85" i="5"/>
  <c r="E44" i="5"/>
  <c r="E45" i="5"/>
  <c r="C46" i="5"/>
  <c r="D45" i="5"/>
  <c r="C192" i="5"/>
  <c r="D191" i="5"/>
  <c r="E191" i="5"/>
  <c r="D294" i="3"/>
  <c r="E294" i="3"/>
  <c r="E273" i="3"/>
  <c r="D273" i="3"/>
  <c r="E252" i="3"/>
  <c r="D252" i="3"/>
  <c r="E231" i="3"/>
  <c r="D231" i="3"/>
  <c r="E211" i="3"/>
  <c r="D211" i="3"/>
  <c r="D189" i="3"/>
  <c r="E189" i="3"/>
  <c r="D169" i="3"/>
  <c r="E169" i="3"/>
  <c r="E147" i="3"/>
  <c r="D126" i="3"/>
  <c r="E126" i="3"/>
  <c r="D105" i="3"/>
  <c r="E105" i="3"/>
  <c r="D84" i="3"/>
  <c r="E84" i="3"/>
  <c r="D62" i="3"/>
  <c r="E62" i="3"/>
  <c r="E41" i="3"/>
  <c r="D41" i="3"/>
  <c r="E19" i="3"/>
  <c r="D19" i="3"/>
  <c r="B296" i="3"/>
  <c r="I295" i="3"/>
  <c r="G295" i="3"/>
  <c r="H295" i="3"/>
  <c r="F295" i="3"/>
  <c r="C295" i="3"/>
  <c r="B275" i="3"/>
  <c r="I274" i="3"/>
  <c r="G274" i="3"/>
  <c r="H274" i="3"/>
  <c r="F274" i="3"/>
  <c r="C274" i="3"/>
  <c r="B254" i="3"/>
  <c r="I253" i="3"/>
  <c r="G253" i="3"/>
  <c r="H253" i="3"/>
  <c r="F253" i="3"/>
  <c r="C253" i="3"/>
  <c r="B233" i="3"/>
  <c r="I232" i="3"/>
  <c r="G232" i="3"/>
  <c r="H232" i="3"/>
  <c r="F232" i="3"/>
  <c r="C232" i="3"/>
  <c r="C212" i="3"/>
  <c r="B212" i="3"/>
  <c r="I211" i="3"/>
  <c r="G211" i="3"/>
  <c r="H211" i="3"/>
  <c r="F211" i="3"/>
  <c r="C190" i="3"/>
  <c r="B191" i="3"/>
  <c r="I190" i="3"/>
  <c r="G190" i="3"/>
  <c r="H190" i="3"/>
  <c r="F190" i="3"/>
  <c r="B170" i="3"/>
  <c r="I169" i="3"/>
  <c r="G169" i="3"/>
  <c r="F169" i="3"/>
  <c r="H169" i="3"/>
  <c r="C170" i="3"/>
  <c r="C149" i="3"/>
  <c r="B148" i="3"/>
  <c r="D148" i="3" s="1"/>
  <c r="I147" i="3"/>
  <c r="G147" i="3"/>
  <c r="H147" i="3"/>
  <c r="F147" i="3"/>
  <c r="C127" i="3"/>
  <c r="B128" i="3"/>
  <c r="I127" i="3"/>
  <c r="G127" i="3"/>
  <c r="F127" i="3"/>
  <c r="H127" i="3"/>
  <c r="B107" i="3"/>
  <c r="I106" i="3"/>
  <c r="G106" i="3"/>
  <c r="H106" i="3"/>
  <c r="F106" i="3"/>
  <c r="C106" i="3"/>
  <c r="C85" i="3"/>
  <c r="B86" i="3"/>
  <c r="I85" i="3"/>
  <c r="G85" i="3"/>
  <c r="H85" i="3"/>
  <c r="F85" i="3"/>
  <c r="C22" i="3"/>
  <c r="H42" i="3"/>
  <c r="F42" i="3"/>
  <c r="G42" i="3"/>
  <c r="I42" i="3"/>
  <c r="C63" i="3"/>
  <c r="H63" i="3"/>
  <c r="F63" i="3"/>
  <c r="I63" i="3"/>
  <c r="B64" i="3"/>
  <c r="G63" i="3"/>
  <c r="C42" i="3"/>
  <c r="B43" i="3"/>
  <c r="H19" i="3"/>
  <c r="G19" i="3"/>
  <c r="F19" i="3"/>
  <c r="I19" i="3"/>
  <c r="B20" i="3"/>
  <c r="D45" i="6" l="1"/>
  <c r="C297" i="6"/>
  <c r="D296" i="6"/>
  <c r="E296" i="6"/>
  <c r="B235" i="6"/>
  <c r="I234" i="6"/>
  <c r="G234" i="6"/>
  <c r="H234" i="6"/>
  <c r="F234" i="6"/>
  <c r="C214" i="6"/>
  <c r="D213" i="6"/>
  <c r="B192" i="6"/>
  <c r="I191" i="6"/>
  <c r="G191" i="6"/>
  <c r="H191" i="6"/>
  <c r="F191" i="6"/>
  <c r="C171" i="6"/>
  <c r="D170" i="6"/>
  <c r="E170" i="6"/>
  <c r="B130" i="6"/>
  <c r="I129" i="6"/>
  <c r="G129" i="6"/>
  <c r="H129" i="6"/>
  <c r="F129" i="6"/>
  <c r="B276" i="6"/>
  <c r="I275" i="6"/>
  <c r="G275" i="6"/>
  <c r="H275" i="6"/>
  <c r="F275" i="6"/>
  <c r="B108" i="6"/>
  <c r="I107" i="6"/>
  <c r="G107" i="6"/>
  <c r="H107" i="6"/>
  <c r="F107" i="6"/>
  <c r="B150" i="6"/>
  <c r="I149" i="6"/>
  <c r="G149" i="6"/>
  <c r="H149" i="6"/>
  <c r="F149" i="6"/>
  <c r="B298" i="6"/>
  <c r="I297" i="6"/>
  <c r="G297" i="6"/>
  <c r="H297" i="6"/>
  <c r="F297" i="6"/>
  <c r="B172" i="6"/>
  <c r="I171" i="6"/>
  <c r="G171" i="6"/>
  <c r="H171" i="6"/>
  <c r="F171" i="6"/>
  <c r="D107" i="6"/>
  <c r="E107" i="6"/>
  <c r="C193" i="6"/>
  <c r="D192" i="6"/>
  <c r="C151" i="6"/>
  <c r="E150" i="6"/>
  <c r="B213" i="6"/>
  <c r="I212" i="6"/>
  <c r="G212" i="6"/>
  <c r="H212" i="6"/>
  <c r="F212" i="6"/>
  <c r="B68" i="6"/>
  <c r="I67" i="6"/>
  <c r="G67" i="6"/>
  <c r="F67" i="6"/>
  <c r="H67" i="6"/>
  <c r="C47" i="6"/>
  <c r="C234" i="6"/>
  <c r="D233" i="6"/>
  <c r="E233" i="6"/>
  <c r="D212" i="6"/>
  <c r="E212" i="6"/>
  <c r="B256" i="6"/>
  <c r="I255" i="6"/>
  <c r="G255" i="6"/>
  <c r="H255" i="6"/>
  <c r="F255" i="6"/>
  <c r="C255" i="6"/>
  <c r="D254" i="6"/>
  <c r="E254" i="6"/>
  <c r="C277" i="6"/>
  <c r="D276" i="6"/>
  <c r="E23" i="6"/>
  <c r="D23" i="6"/>
  <c r="C24" i="6"/>
  <c r="C88" i="6"/>
  <c r="D87" i="6"/>
  <c r="C67" i="6"/>
  <c r="D66" i="6"/>
  <c r="E66" i="6"/>
  <c r="B87" i="6"/>
  <c r="I86" i="6"/>
  <c r="G86" i="6"/>
  <c r="H86" i="6"/>
  <c r="F86" i="6"/>
  <c r="B46" i="6"/>
  <c r="I45" i="6"/>
  <c r="G45" i="6"/>
  <c r="H45" i="6"/>
  <c r="F45" i="6"/>
  <c r="C109" i="6"/>
  <c r="D108" i="6"/>
  <c r="E108" i="6"/>
  <c r="D191" i="6"/>
  <c r="E191" i="6"/>
  <c r="C129" i="6"/>
  <c r="D128" i="6"/>
  <c r="E128" i="6"/>
  <c r="D149" i="6"/>
  <c r="E149" i="6"/>
  <c r="H24" i="6"/>
  <c r="F24" i="6"/>
  <c r="B25" i="6"/>
  <c r="I24" i="6"/>
  <c r="G24" i="6"/>
  <c r="E148" i="3"/>
  <c r="B66" i="5"/>
  <c r="G65" i="5"/>
  <c r="H65" i="5"/>
  <c r="I65" i="5"/>
  <c r="F65" i="5"/>
  <c r="H86" i="5"/>
  <c r="F86" i="5"/>
  <c r="B87" i="5"/>
  <c r="I86" i="5"/>
  <c r="G86" i="5"/>
  <c r="C67" i="5"/>
  <c r="D66" i="5"/>
  <c r="E66" i="5"/>
  <c r="E212" i="5"/>
  <c r="D212" i="5"/>
  <c r="C213" i="5"/>
  <c r="E86" i="5"/>
  <c r="E87" i="5"/>
  <c r="C88" i="5"/>
  <c r="D87" i="5"/>
  <c r="E128" i="5"/>
  <c r="C129" i="5"/>
  <c r="D128" i="5"/>
  <c r="H275" i="5"/>
  <c r="F275" i="5"/>
  <c r="G275" i="5"/>
  <c r="B276" i="5"/>
  <c r="I275" i="5"/>
  <c r="H255" i="5"/>
  <c r="F255" i="5"/>
  <c r="B256" i="5"/>
  <c r="I255" i="5"/>
  <c r="G255" i="5"/>
  <c r="C25" i="5"/>
  <c r="D24" i="5"/>
  <c r="E24" i="5"/>
  <c r="C109" i="5"/>
  <c r="H233" i="5"/>
  <c r="F233" i="5"/>
  <c r="B234" i="5"/>
  <c r="I233" i="5"/>
  <c r="G233" i="5"/>
  <c r="B171" i="5"/>
  <c r="I170" i="5"/>
  <c r="G170" i="5"/>
  <c r="H170" i="5"/>
  <c r="F170" i="5"/>
  <c r="C297" i="5"/>
  <c r="D296" i="5"/>
  <c r="E296" i="5"/>
  <c r="D233" i="5"/>
  <c r="E254" i="5"/>
  <c r="D254" i="5"/>
  <c r="C255" i="5"/>
  <c r="C193" i="5"/>
  <c r="C47" i="5"/>
  <c r="H129" i="5"/>
  <c r="F129" i="5"/>
  <c r="G129" i="5"/>
  <c r="B130" i="5"/>
  <c r="I129" i="5"/>
  <c r="C172" i="5"/>
  <c r="D171" i="5"/>
  <c r="D86" i="5"/>
  <c r="B46" i="5"/>
  <c r="D46" i="5" s="1"/>
  <c r="I45" i="5"/>
  <c r="G45" i="5"/>
  <c r="H45" i="5"/>
  <c r="F45" i="5"/>
  <c r="H107" i="5"/>
  <c r="F107" i="5"/>
  <c r="B108" i="5"/>
  <c r="I107" i="5"/>
  <c r="G107" i="5"/>
  <c r="B150" i="5"/>
  <c r="I149" i="5"/>
  <c r="G149" i="5"/>
  <c r="H149" i="5"/>
  <c r="F149" i="5"/>
  <c r="E275" i="5"/>
  <c r="E276" i="5"/>
  <c r="C277" i="5"/>
  <c r="D276" i="5"/>
  <c r="H213" i="5"/>
  <c r="F213" i="5"/>
  <c r="G213" i="5"/>
  <c r="B214" i="5"/>
  <c r="I213" i="5"/>
  <c r="D107" i="5"/>
  <c r="C151" i="5"/>
  <c r="D150" i="5"/>
  <c r="E149" i="5"/>
  <c r="H191" i="5"/>
  <c r="F191" i="5"/>
  <c r="G191" i="5"/>
  <c r="B192" i="5"/>
  <c r="I191" i="5"/>
  <c r="B26" i="5"/>
  <c r="I25" i="5"/>
  <c r="G25" i="5"/>
  <c r="H25" i="5"/>
  <c r="F25" i="5"/>
  <c r="B298" i="5"/>
  <c r="I297" i="5"/>
  <c r="G297" i="5"/>
  <c r="H297" i="5"/>
  <c r="F297" i="5"/>
  <c r="E233" i="5"/>
  <c r="C235" i="5"/>
  <c r="D295" i="3"/>
  <c r="E295" i="3"/>
  <c r="E274" i="3"/>
  <c r="D274" i="3"/>
  <c r="E253" i="3"/>
  <c r="D253" i="3"/>
  <c r="E232" i="3"/>
  <c r="D232" i="3"/>
  <c r="E212" i="3"/>
  <c r="D212" i="3"/>
  <c r="D190" i="3"/>
  <c r="E190" i="3"/>
  <c r="D170" i="3"/>
  <c r="E170" i="3"/>
  <c r="D127" i="3"/>
  <c r="E127" i="3"/>
  <c r="D106" i="3"/>
  <c r="E106" i="3"/>
  <c r="D85" i="3"/>
  <c r="E85" i="3"/>
  <c r="D63" i="3"/>
  <c r="E63" i="3"/>
  <c r="E42" i="3"/>
  <c r="D42" i="3"/>
  <c r="D20" i="3"/>
  <c r="E20" i="3"/>
  <c r="C296" i="3"/>
  <c r="H296" i="3"/>
  <c r="F296" i="3"/>
  <c r="I296" i="3"/>
  <c r="B297" i="3"/>
  <c r="G296" i="3"/>
  <c r="C275" i="3"/>
  <c r="H275" i="3"/>
  <c r="F275" i="3"/>
  <c r="I275" i="3"/>
  <c r="B276" i="3"/>
  <c r="G275" i="3"/>
  <c r="C254" i="3"/>
  <c r="H254" i="3"/>
  <c r="F254" i="3"/>
  <c r="I254" i="3"/>
  <c r="B255" i="3"/>
  <c r="G254" i="3"/>
  <c r="C233" i="3"/>
  <c r="H233" i="3"/>
  <c r="F233" i="3"/>
  <c r="I233" i="3"/>
  <c r="B234" i="3"/>
  <c r="G233" i="3"/>
  <c r="H212" i="3"/>
  <c r="F212" i="3"/>
  <c r="I212" i="3"/>
  <c r="B213" i="3"/>
  <c r="G212" i="3"/>
  <c r="C213" i="3"/>
  <c r="H191" i="3"/>
  <c r="F191" i="3"/>
  <c r="B192" i="3"/>
  <c r="I191" i="3"/>
  <c r="G191" i="3"/>
  <c r="C191" i="3"/>
  <c r="C171" i="3"/>
  <c r="H170" i="3"/>
  <c r="F170" i="3"/>
  <c r="B171" i="3"/>
  <c r="G170" i="3"/>
  <c r="I170" i="3"/>
  <c r="H148" i="3"/>
  <c r="F148" i="3"/>
  <c r="I148" i="3"/>
  <c r="B149" i="3"/>
  <c r="D149" i="3" s="1"/>
  <c r="G148" i="3"/>
  <c r="C150" i="3"/>
  <c r="H128" i="3"/>
  <c r="F128" i="3"/>
  <c r="B129" i="3"/>
  <c r="G128" i="3"/>
  <c r="I128" i="3"/>
  <c r="C128" i="3"/>
  <c r="C107" i="3"/>
  <c r="H107" i="3"/>
  <c r="F107" i="3"/>
  <c r="I107" i="3"/>
  <c r="B108" i="3"/>
  <c r="G107" i="3"/>
  <c r="H86" i="3"/>
  <c r="F86" i="3"/>
  <c r="B87" i="3"/>
  <c r="I86" i="3"/>
  <c r="G86" i="3"/>
  <c r="C86" i="3"/>
  <c r="H43" i="3"/>
  <c r="F43" i="3"/>
  <c r="G43" i="3"/>
  <c r="I43" i="3"/>
  <c r="C23" i="3"/>
  <c r="B65" i="3"/>
  <c r="I64" i="3"/>
  <c r="G64" i="3"/>
  <c r="H64" i="3"/>
  <c r="F64" i="3"/>
  <c r="C64" i="3"/>
  <c r="C43" i="3"/>
  <c r="B44" i="3"/>
  <c r="H20" i="3"/>
  <c r="G20" i="3"/>
  <c r="F20" i="3"/>
  <c r="I20" i="3"/>
  <c r="B21" i="3"/>
  <c r="E129" i="6" l="1"/>
  <c r="C130" i="6"/>
  <c r="D129" i="6"/>
  <c r="H46" i="6"/>
  <c r="F46" i="6"/>
  <c r="B47" i="6"/>
  <c r="E47" i="6" s="1"/>
  <c r="I46" i="6"/>
  <c r="G46" i="6"/>
  <c r="E67" i="6"/>
  <c r="C68" i="6"/>
  <c r="D67" i="6"/>
  <c r="C25" i="6"/>
  <c r="D24" i="6"/>
  <c r="E24" i="6"/>
  <c r="E255" i="6"/>
  <c r="C256" i="6"/>
  <c r="D255" i="6"/>
  <c r="E234" i="6"/>
  <c r="C235" i="6"/>
  <c r="D234" i="6"/>
  <c r="D46" i="6"/>
  <c r="H68" i="6"/>
  <c r="F68" i="6"/>
  <c r="G68" i="6"/>
  <c r="B69" i="6"/>
  <c r="I68" i="6"/>
  <c r="C152" i="6"/>
  <c r="E151" i="6"/>
  <c r="H172" i="6"/>
  <c r="F172" i="6"/>
  <c r="B173" i="6"/>
  <c r="I172" i="6"/>
  <c r="G172" i="6"/>
  <c r="H150" i="6"/>
  <c r="F150" i="6"/>
  <c r="B151" i="6"/>
  <c r="I150" i="6"/>
  <c r="G150" i="6"/>
  <c r="H276" i="6"/>
  <c r="F276" i="6"/>
  <c r="B277" i="6"/>
  <c r="I276" i="6"/>
  <c r="G276" i="6"/>
  <c r="H192" i="6"/>
  <c r="F192" i="6"/>
  <c r="B193" i="6"/>
  <c r="I192" i="6"/>
  <c r="G192" i="6"/>
  <c r="H235" i="6"/>
  <c r="F235" i="6"/>
  <c r="B236" i="6"/>
  <c r="I235" i="6"/>
  <c r="G235" i="6"/>
  <c r="B26" i="6"/>
  <c r="I25" i="6"/>
  <c r="G25" i="6"/>
  <c r="F25" i="6"/>
  <c r="H25" i="6"/>
  <c r="E109" i="6"/>
  <c r="C110" i="6"/>
  <c r="D109" i="6"/>
  <c r="H87" i="6"/>
  <c r="F87" i="6"/>
  <c r="B88" i="6"/>
  <c r="I87" i="6"/>
  <c r="G87" i="6"/>
  <c r="E87" i="6"/>
  <c r="E88" i="6"/>
  <c r="C89" i="6"/>
  <c r="D88" i="6"/>
  <c r="E276" i="6"/>
  <c r="C278" i="6"/>
  <c r="H256" i="6"/>
  <c r="F256" i="6"/>
  <c r="B257" i="6"/>
  <c r="I256" i="6"/>
  <c r="G256" i="6"/>
  <c r="E46" i="6"/>
  <c r="C48" i="6"/>
  <c r="H213" i="6"/>
  <c r="F213" i="6"/>
  <c r="B214" i="6"/>
  <c r="I213" i="6"/>
  <c r="G213" i="6"/>
  <c r="D150" i="6"/>
  <c r="E192" i="6"/>
  <c r="E193" i="6"/>
  <c r="C194" i="6"/>
  <c r="D193" i="6"/>
  <c r="H298" i="6"/>
  <c r="F298" i="6"/>
  <c r="B299" i="6"/>
  <c r="I298" i="6"/>
  <c r="G298" i="6"/>
  <c r="H108" i="6"/>
  <c r="F108" i="6"/>
  <c r="B109" i="6"/>
  <c r="I108" i="6"/>
  <c r="G108" i="6"/>
  <c r="H130" i="6"/>
  <c r="F130" i="6"/>
  <c r="B131" i="6"/>
  <c r="I130" i="6"/>
  <c r="G130" i="6"/>
  <c r="E171" i="6"/>
  <c r="C172" i="6"/>
  <c r="D171" i="6"/>
  <c r="E213" i="6"/>
  <c r="E214" i="6"/>
  <c r="C215" i="6"/>
  <c r="D214" i="6"/>
  <c r="E297" i="6"/>
  <c r="C298" i="6"/>
  <c r="D297" i="6"/>
  <c r="H66" i="5"/>
  <c r="G66" i="5"/>
  <c r="I66" i="5"/>
  <c r="F66" i="5"/>
  <c r="B67" i="5"/>
  <c r="C236" i="5"/>
  <c r="H26" i="5"/>
  <c r="F26" i="5"/>
  <c r="B27" i="5"/>
  <c r="I26" i="5"/>
  <c r="G26" i="5"/>
  <c r="B193" i="5"/>
  <c r="I192" i="5"/>
  <c r="G192" i="5"/>
  <c r="H192" i="5"/>
  <c r="F192" i="5"/>
  <c r="B215" i="5"/>
  <c r="I214" i="5"/>
  <c r="G214" i="5"/>
  <c r="H214" i="5"/>
  <c r="F214" i="5"/>
  <c r="H150" i="5"/>
  <c r="F150" i="5"/>
  <c r="B151" i="5"/>
  <c r="I150" i="5"/>
  <c r="G150" i="5"/>
  <c r="C194" i="5"/>
  <c r="E193" i="5"/>
  <c r="E192" i="5"/>
  <c r="H171" i="5"/>
  <c r="F171" i="5"/>
  <c r="B172" i="5"/>
  <c r="I171" i="5"/>
  <c r="G171" i="5"/>
  <c r="B235" i="5"/>
  <c r="E235" i="5" s="1"/>
  <c r="I234" i="5"/>
  <c r="G234" i="5"/>
  <c r="F234" i="5"/>
  <c r="H234" i="5"/>
  <c r="C110" i="5"/>
  <c r="E25" i="5"/>
  <c r="C26" i="5"/>
  <c r="D25" i="5"/>
  <c r="C130" i="5"/>
  <c r="D129" i="5"/>
  <c r="E129" i="5"/>
  <c r="C214" i="5"/>
  <c r="D213" i="5"/>
  <c r="E213" i="5"/>
  <c r="B88" i="5"/>
  <c r="I87" i="5"/>
  <c r="G87" i="5"/>
  <c r="F87" i="5"/>
  <c r="H87" i="5"/>
  <c r="D234" i="5"/>
  <c r="E234" i="5"/>
  <c r="H298" i="5"/>
  <c r="F298" i="5"/>
  <c r="B299" i="5"/>
  <c r="I298" i="5"/>
  <c r="G298" i="5"/>
  <c r="E150" i="5"/>
  <c r="C152" i="5"/>
  <c r="E151" i="5"/>
  <c r="C278" i="5"/>
  <c r="B109" i="5"/>
  <c r="E109" i="5" s="1"/>
  <c r="I108" i="5"/>
  <c r="G108" i="5"/>
  <c r="F108" i="5"/>
  <c r="H108" i="5"/>
  <c r="H46" i="5"/>
  <c r="F46" i="5"/>
  <c r="B47" i="5"/>
  <c r="I46" i="5"/>
  <c r="G46" i="5"/>
  <c r="E171" i="5"/>
  <c r="E172" i="5"/>
  <c r="C173" i="5"/>
  <c r="D172" i="5"/>
  <c r="B131" i="5"/>
  <c r="I130" i="5"/>
  <c r="G130" i="5"/>
  <c r="H130" i="5"/>
  <c r="F130" i="5"/>
  <c r="E46" i="5"/>
  <c r="C48" i="5"/>
  <c r="D192" i="5"/>
  <c r="C256" i="5"/>
  <c r="D255" i="5"/>
  <c r="E255" i="5"/>
  <c r="E297" i="5"/>
  <c r="D297" i="5"/>
  <c r="C298" i="5"/>
  <c r="D108" i="5"/>
  <c r="E108" i="5"/>
  <c r="B257" i="5"/>
  <c r="I256" i="5"/>
  <c r="G256" i="5"/>
  <c r="F256" i="5"/>
  <c r="H256" i="5"/>
  <c r="B277" i="5"/>
  <c r="I276" i="5"/>
  <c r="G276" i="5"/>
  <c r="F276" i="5"/>
  <c r="H276" i="5"/>
  <c r="C89" i="5"/>
  <c r="D88" i="5"/>
  <c r="E88" i="5"/>
  <c r="E67" i="5"/>
  <c r="D67" i="5"/>
  <c r="C68" i="5"/>
  <c r="D296" i="3"/>
  <c r="E296" i="3"/>
  <c r="E275" i="3"/>
  <c r="D275" i="3"/>
  <c r="E254" i="3"/>
  <c r="D254" i="3"/>
  <c r="E233" i="3"/>
  <c r="D233" i="3"/>
  <c r="E213" i="3"/>
  <c r="D213" i="3"/>
  <c r="D191" i="3"/>
  <c r="E191" i="3"/>
  <c r="D171" i="3"/>
  <c r="E171" i="3"/>
  <c r="E149" i="3"/>
  <c r="D128" i="3"/>
  <c r="E128" i="3"/>
  <c r="D107" i="3"/>
  <c r="E107" i="3"/>
  <c r="D86" i="3"/>
  <c r="E86" i="3"/>
  <c r="D64" i="3"/>
  <c r="E64" i="3"/>
  <c r="E43" i="3"/>
  <c r="D43" i="3"/>
  <c r="E21" i="3"/>
  <c r="D21" i="3"/>
  <c r="B298" i="3"/>
  <c r="I297" i="3"/>
  <c r="G297" i="3"/>
  <c r="H297" i="3"/>
  <c r="F297" i="3"/>
  <c r="C297" i="3"/>
  <c r="B277" i="3"/>
  <c r="I276" i="3"/>
  <c r="G276" i="3"/>
  <c r="H276" i="3"/>
  <c r="F276" i="3"/>
  <c r="C276" i="3"/>
  <c r="B256" i="3"/>
  <c r="I255" i="3"/>
  <c r="G255" i="3"/>
  <c r="H255" i="3"/>
  <c r="F255" i="3"/>
  <c r="C255" i="3"/>
  <c r="B235" i="3"/>
  <c r="I234" i="3"/>
  <c r="G234" i="3"/>
  <c r="H234" i="3"/>
  <c r="F234" i="3"/>
  <c r="C234" i="3"/>
  <c r="C214" i="3"/>
  <c r="B214" i="3"/>
  <c r="I213" i="3"/>
  <c r="G213" i="3"/>
  <c r="H213" i="3"/>
  <c r="F213" i="3"/>
  <c r="C192" i="3"/>
  <c r="B193" i="3"/>
  <c r="I192" i="3"/>
  <c r="G192" i="3"/>
  <c r="H192" i="3"/>
  <c r="F192" i="3"/>
  <c r="B172" i="3"/>
  <c r="I171" i="3"/>
  <c r="G171" i="3"/>
  <c r="F171" i="3"/>
  <c r="H171" i="3"/>
  <c r="C172" i="3"/>
  <c r="B150" i="3"/>
  <c r="D150" i="3" s="1"/>
  <c r="I149" i="3"/>
  <c r="G149" i="3"/>
  <c r="H149" i="3"/>
  <c r="F149" i="3"/>
  <c r="C151" i="3"/>
  <c r="C129" i="3"/>
  <c r="B130" i="3"/>
  <c r="I129" i="3"/>
  <c r="G129" i="3"/>
  <c r="F129" i="3"/>
  <c r="H129" i="3"/>
  <c r="B109" i="3"/>
  <c r="I108" i="3"/>
  <c r="G108" i="3"/>
  <c r="H108" i="3"/>
  <c r="F108" i="3"/>
  <c r="C108" i="3"/>
  <c r="C87" i="3"/>
  <c r="B88" i="3"/>
  <c r="I87" i="3"/>
  <c r="G87" i="3"/>
  <c r="H87" i="3"/>
  <c r="F87" i="3"/>
  <c r="H44" i="3"/>
  <c r="F44" i="3"/>
  <c r="G44" i="3"/>
  <c r="I44" i="3"/>
  <c r="C24" i="3"/>
  <c r="C65" i="3"/>
  <c r="H65" i="3"/>
  <c r="F65" i="3"/>
  <c r="I65" i="3"/>
  <c r="B66" i="3"/>
  <c r="G65" i="3"/>
  <c r="C44" i="3"/>
  <c r="B45" i="3"/>
  <c r="H21" i="3"/>
  <c r="G21" i="3"/>
  <c r="F21" i="3"/>
  <c r="I21" i="3"/>
  <c r="B22" i="3"/>
  <c r="D47" i="6" l="1"/>
  <c r="B132" i="6"/>
  <c r="I131" i="6"/>
  <c r="G131" i="6"/>
  <c r="H131" i="6"/>
  <c r="F131" i="6"/>
  <c r="B258" i="6"/>
  <c r="I257" i="6"/>
  <c r="G257" i="6"/>
  <c r="H257" i="6"/>
  <c r="F257" i="6"/>
  <c r="C279" i="6"/>
  <c r="C90" i="6"/>
  <c r="E89" i="6"/>
  <c r="B237" i="6"/>
  <c r="I236" i="6"/>
  <c r="G236" i="6"/>
  <c r="H236" i="6"/>
  <c r="F236" i="6"/>
  <c r="B278" i="6"/>
  <c r="I277" i="6"/>
  <c r="G277" i="6"/>
  <c r="H277" i="6"/>
  <c r="F277" i="6"/>
  <c r="B174" i="6"/>
  <c r="I173" i="6"/>
  <c r="G173" i="6"/>
  <c r="H173" i="6"/>
  <c r="F173" i="6"/>
  <c r="C257" i="6"/>
  <c r="D256" i="6"/>
  <c r="E256" i="6"/>
  <c r="E25" i="6"/>
  <c r="C26" i="6"/>
  <c r="D25" i="6"/>
  <c r="C69" i="6"/>
  <c r="D68" i="6"/>
  <c r="E68" i="6"/>
  <c r="B48" i="6"/>
  <c r="E48" i="6" s="1"/>
  <c r="I47" i="6"/>
  <c r="G47" i="6"/>
  <c r="H47" i="6"/>
  <c r="F47" i="6"/>
  <c r="C131" i="6"/>
  <c r="D130" i="6"/>
  <c r="E130" i="6"/>
  <c r="C299" i="6"/>
  <c r="D298" i="6"/>
  <c r="E298" i="6"/>
  <c r="C216" i="6"/>
  <c r="E215" i="6"/>
  <c r="C173" i="6"/>
  <c r="D172" i="6"/>
  <c r="E172" i="6"/>
  <c r="B110" i="6"/>
  <c r="I109" i="6"/>
  <c r="G109" i="6"/>
  <c r="H109" i="6"/>
  <c r="F109" i="6"/>
  <c r="B300" i="6"/>
  <c r="I299" i="6"/>
  <c r="G299" i="6"/>
  <c r="H299" i="6"/>
  <c r="F299" i="6"/>
  <c r="C195" i="6"/>
  <c r="E194" i="6"/>
  <c r="B215" i="6"/>
  <c r="I214" i="6"/>
  <c r="G214" i="6"/>
  <c r="H214" i="6"/>
  <c r="F214" i="6"/>
  <c r="C49" i="6"/>
  <c r="D48" i="6"/>
  <c r="D277" i="6"/>
  <c r="E277" i="6"/>
  <c r="B89" i="6"/>
  <c r="I88" i="6"/>
  <c r="G88" i="6"/>
  <c r="H88" i="6"/>
  <c r="F88" i="6"/>
  <c r="C111" i="6"/>
  <c r="E110" i="6"/>
  <c r="H26" i="6"/>
  <c r="F26" i="6"/>
  <c r="B27" i="6"/>
  <c r="G26" i="6"/>
  <c r="I26" i="6"/>
  <c r="B194" i="6"/>
  <c r="I193" i="6"/>
  <c r="G193" i="6"/>
  <c r="H193" i="6"/>
  <c r="F193" i="6"/>
  <c r="B152" i="6"/>
  <c r="I151" i="6"/>
  <c r="G151" i="6"/>
  <c r="H151" i="6"/>
  <c r="F151" i="6"/>
  <c r="D151" i="6"/>
  <c r="C153" i="6"/>
  <c r="E152" i="6"/>
  <c r="B70" i="6"/>
  <c r="I69" i="6"/>
  <c r="G69" i="6"/>
  <c r="H69" i="6"/>
  <c r="F69" i="6"/>
  <c r="C236" i="6"/>
  <c r="D235" i="6"/>
  <c r="E235" i="6"/>
  <c r="B68" i="5"/>
  <c r="G67" i="5"/>
  <c r="F67" i="5"/>
  <c r="I67" i="5"/>
  <c r="H67" i="5"/>
  <c r="C69" i="5"/>
  <c r="D68" i="5"/>
  <c r="E68" i="5"/>
  <c r="H277" i="5"/>
  <c r="F277" i="5"/>
  <c r="G277" i="5"/>
  <c r="B278" i="5"/>
  <c r="I277" i="5"/>
  <c r="C299" i="5"/>
  <c r="D298" i="5"/>
  <c r="E298" i="5"/>
  <c r="C49" i="5"/>
  <c r="B48" i="5"/>
  <c r="I47" i="5"/>
  <c r="G47" i="5"/>
  <c r="H47" i="5"/>
  <c r="F47" i="5"/>
  <c r="E277" i="5"/>
  <c r="E278" i="5"/>
  <c r="C279" i="5"/>
  <c r="E214" i="5"/>
  <c r="D214" i="5"/>
  <c r="C215" i="5"/>
  <c r="E130" i="5"/>
  <c r="D130" i="5"/>
  <c r="C131" i="5"/>
  <c r="C27" i="5"/>
  <c r="D26" i="5"/>
  <c r="E26" i="5"/>
  <c r="C111" i="5"/>
  <c r="B173" i="5"/>
  <c r="I172" i="5"/>
  <c r="G172" i="5"/>
  <c r="H172" i="5"/>
  <c r="F172" i="5"/>
  <c r="C195" i="5"/>
  <c r="B152" i="5"/>
  <c r="I151" i="5"/>
  <c r="G151" i="5"/>
  <c r="F151" i="5"/>
  <c r="H151" i="5"/>
  <c r="H193" i="5"/>
  <c r="F193" i="5"/>
  <c r="B194" i="5"/>
  <c r="I193" i="5"/>
  <c r="G193" i="5"/>
  <c r="C237" i="5"/>
  <c r="C90" i="5"/>
  <c r="H257" i="5"/>
  <c r="F257" i="5"/>
  <c r="G257" i="5"/>
  <c r="B258" i="5"/>
  <c r="I257" i="5"/>
  <c r="E256" i="5"/>
  <c r="C257" i="5"/>
  <c r="D256" i="5"/>
  <c r="D47" i="5"/>
  <c r="E47" i="5"/>
  <c r="H131" i="5"/>
  <c r="F131" i="5"/>
  <c r="B132" i="5"/>
  <c r="I131" i="5"/>
  <c r="G131" i="5"/>
  <c r="C174" i="5"/>
  <c r="D173" i="5"/>
  <c r="H109" i="5"/>
  <c r="F109" i="5"/>
  <c r="G109" i="5"/>
  <c r="B110" i="5"/>
  <c r="D110" i="5" s="1"/>
  <c r="I109" i="5"/>
  <c r="D277" i="5"/>
  <c r="D151" i="5"/>
  <c r="C153" i="5"/>
  <c r="B300" i="5"/>
  <c r="I299" i="5"/>
  <c r="G299" i="5"/>
  <c r="F299" i="5"/>
  <c r="H299" i="5"/>
  <c r="H88" i="5"/>
  <c r="F88" i="5"/>
  <c r="G88" i="5"/>
  <c r="B89" i="5"/>
  <c r="I88" i="5"/>
  <c r="D109" i="5"/>
  <c r="H235" i="5"/>
  <c r="F235" i="5"/>
  <c r="G235" i="5"/>
  <c r="B236" i="5"/>
  <c r="I235" i="5"/>
  <c r="D193" i="5"/>
  <c r="H215" i="5"/>
  <c r="F215" i="5"/>
  <c r="B216" i="5"/>
  <c r="I215" i="5"/>
  <c r="G215" i="5"/>
  <c r="B28" i="5"/>
  <c r="I27" i="5"/>
  <c r="G27" i="5"/>
  <c r="H27" i="5"/>
  <c r="F27" i="5"/>
  <c r="D235" i="5"/>
  <c r="D297" i="3"/>
  <c r="E297" i="3"/>
  <c r="E276" i="3"/>
  <c r="D276" i="3"/>
  <c r="E255" i="3"/>
  <c r="D255" i="3"/>
  <c r="E234" i="3"/>
  <c r="D234" i="3"/>
  <c r="E214" i="3"/>
  <c r="D214" i="3"/>
  <c r="D192" i="3"/>
  <c r="E192" i="3"/>
  <c r="D172" i="3"/>
  <c r="E172" i="3"/>
  <c r="E150" i="3"/>
  <c r="D129" i="3"/>
  <c r="E129" i="3"/>
  <c r="D108" i="3"/>
  <c r="E108" i="3"/>
  <c r="D87" i="3"/>
  <c r="E87" i="3"/>
  <c r="D65" i="3"/>
  <c r="E65" i="3"/>
  <c r="E44" i="3"/>
  <c r="D44" i="3"/>
  <c r="D22" i="3"/>
  <c r="E22" i="3"/>
  <c r="C298" i="3"/>
  <c r="H298" i="3"/>
  <c r="F298" i="3"/>
  <c r="I298" i="3"/>
  <c r="B299" i="3"/>
  <c r="G298" i="3"/>
  <c r="C277" i="3"/>
  <c r="H277" i="3"/>
  <c r="F277" i="3"/>
  <c r="I277" i="3"/>
  <c r="B278" i="3"/>
  <c r="G277" i="3"/>
  <c r="C256" i="3"/>
  <c r="H256" i="3"/>
  <c r="F256" i="3"/>
  <c r="I256" i="3"/>
  <c r="B257" i="3"/>
  <c r="G256" i="3"/>
  <c r="C235" i="3"/>
  <c r="H235" i="3"/>
  <c r="F235" i="3"/>
  <c r="I235" i="3"/>
  <c r="B236" i="3"/>
  <c r="G235" i="3"/>
  <c r="H214" i="3"/>
  <c r="F214" i="3"/>
  <c r="I214" i="3"/>
  <c r="B215" i="3"/>
  <c r="G214" i="3"/>
  <c r="C215" i="3"/>
  <c r="H193" i="3"/>
  <c r="F193" i="3"/>
  <c r="B194" i="3"/>
  <c r="I193" i="3"/>
  <c r="G193" i="3"/>
  <c r="C193" i="3"/>
  <c r="C173" i="3"/>
  <c r="H172" i="3"/>
  <c r="F172" i="3"/>
  <c r="B173" i="3"/>
  <c r="G172" i="3"/>
  <c r="I172" i="3"/>
  <c r="C152" i="3"/>
  <c r="H150" i="3"/>
  <c r="F150" i="3"/>
  <c r="I150" i="3"/>
  <c r="B151" i="3"/>
  <c r="E151" i="3" s="1"/>
  <c r="G150" i="3"/>
  <c r="H130" i="3"/>
  <c r="F130" i="3"/>
  <c r="B131" i="3"/>
  <c r="G130" i="3"/>
  <c r="I130" i="3"/>
  <c r="C130" i="3"/>
  <c r="C109" i="3"/>
  <c r="H109" i="3"/>
  <c r="F109" i="3"/>
  <c r="I109" i="3"/>
  <c r="B110" i="3"/>
  <c r="G109" i="3"/>
  <c r="H88" i="3"/>
  <c r="F88" i="3"/>
  <c r="B89" i="3"/>
  <c r="I88" i="3"/>
  <c r="G88" i="3"/>
  <c r="C88" i="3"/>
  <c r="H45" i="3"/>
  <c r="F45" i="3"/>
  <c r="G45" i="3"/>
  <c r="I45" i="3"/>
  <c r="C25" i="3"/>
  <c r="B67" i="3"/>
  <c r="I66" i="3"/>
  <c r="G66" i="3"/>
  <c r="H66" i="3"/>
  <c r="F66" i="3"/>
  <c r="C66" i="3"/>
  <c r="C45" i="3"/>
  <c r="B46" i="3"/>
  <c r="H22" i="3"/>
  <c r="G22" i="3"/>
  <c r="F22" i="3"/>
  <c r="I22" i="3"/>
  <c r="B23" i="3"/>
  <c r="E236" i="6" l="1"/>
  <c r="C237" i="6"/>
  <c r="D236" i="6"/>
  <c r="E153" i="6"/>
  <c r="C154" i="6"/>
  <c r="D153" i="6"/>
  <c r="H152" i="6"/>
  <c r="F152" i="6"/>
  <c r="B153" i="6"/>
  <c r="I152" i="6"/>
  <c r="G152" i="6"/>
  <c r="B28" i="6"/>
  <c r="I27" i="6"/>
  <c r="G27" i="6"/>
  <c r="H27" i="6"/>
  <c r="F27" i="6"/>
  <c r="C112" i="6"/>
  <c r="C50" i="6"/>
  <c r="E195" i="6"/>
  <c r="C196" i="6"/>
  <c r="D195" i="6"/>
  <c r="H110" i="6"/>
  <c r="F110" i="6"/>
  <c r="B111" i="6"/>
  <c r="I110" i="6"/>
  <c r="G110" i="6"/>
  <c r="C217" i="6"/>
  <c r="E131" i="6"/>
  <c r="C132" i="6"/>
  <c r="D131" i="6"/>
  <c r="E69" i="6"/>
  <c r="D69" i="6"/>
  <c r="C70" i="6"/>
  <c r="C27" i="6"/>
  <c r="D26" i="6"/>
  <c r="E26" i="6"/>
  <c r="E257" i="6"/>
  <c r="C258" i="6"/>
  <c r="D257" i="6"/>
  <c r="H278" i="6"/>
  <c r="F278" i="6"/>
  <c r="B279" i="6"/>
  <c r="I278" i="6"/>
  <c r="G278" i="6"/>
  <c r="C91" i="6"/>
  <c r="D278" i="6"/>
  <c r="H258" i="6"/>
  <c r="F258" i="6"/>
  <c r="B259" i="6"/>
  <c r="I258" i="6"/>
  <c r="G258" i="6"/>
  <c r="H70" i="6"/>
  <c r="F70" i="6"/>
  <c r="B71" i="6"/>
  <c r="I70" i="6"/>
  <c r="G70" i="6"/>
  <c r="D152" i="6"/>
  <c r="H194" i="6"/>
  <c r="F194" i="6"/>
  <c r="B195" i="6"/>
  <c r="I194" i="6"/>
  <c r="G194" i="6"/>
  <c r="D110" i="6"/>
  <c r="H89" i="6"/>
  <c r="F89" i="6"/>
  <c r="B90" i="6"/>
  <c r="I89" i="6"/>
  <c r="G89" i="6"/>
  <c r="H215" i="6"/>
  <c r="F215" i="6"/>
  <c r="B216" i="6"/>
  <c r="I215" i="6"/>
  <c r="G215" i="6"/>
  <c r="D194" i="6"/>
  <c r="H300" i="6"/>
  <c r="F300" i="6"/>
  <c r="B301" i="6"/>
  <c r="I300" i="6"/>
  <c r="G300" i="6"/>
  <c r="E173" i="6"/>
  <c r="C174" i="6"/>
  <c r="D173" i="6"/>
  <c r="D215" i="6"/>
  <c r="E299" i="6"/>
  <c r="C300" i="6"/>
  <c r="D299" i="6"/>
  <c r="H48" i="6"/>
  <c r="F48" i="6"/>
  <c r="B49" i="6"/>
  <c r="I48" i="6"/>
  <c r="G48" i="6"/>
  <c r="H174" i="6"/>
  <c r="F174" i="6"/>
  <c r="B175" i="6"/>
  <c r="I174" i="6"/>
  <c r="G174" i="6"/>
  <c r="H237" i="6"/>
  <c r="F237" i="6"/>
  <c r="B238" i="6"/>
  <c r="I237" i="6"/>
  <c r="G237" i="6"/>
  <c r="D89" i="6"/>
  <c r="E278" i="6"/>
  <c r="E279" i="6"/>
  <c r="C280" i="6"/>
  <c r="D279" i="6"/>
  <c r="H132" i="6"/>
  <c r="F132" i="6"/>
  <c r="B133" i="6"/>
  <c r="I132" i="6"/>
  <c r="G132" i="6"/>
  <c r="H68" i="5"/>
  <c r="B69" i="5"/>
  <c r="G68" i="5"/>
  <c r="F68" i="5"/>
  <c r="I68" i="5"/>
  <c r="H28" i="5"/>
  <c r="F28" i="5"/>
  <c r="B29" i="5"/>
  <c r="I28" i="5"/>
  <c r="G28" i="5"/>
  <c r="B237" i="5"/>
  <c r="I236" i="5"/>
  <c r="G236" i="5"/>
  <c r="H236" i="5"/>
  <c r="F236" i="5"/>
  <c r="B90" i="5"/>
  <c r="I89" i="5"/>
  <c r="G89" i="5"/>
  <c r="H89" i="5"/>
  <c r="F89" i="5"/>
  <c r="H300" i="5"/>
  <c r="F300" i="5"/>
  <c r="G300" i="5"/>
  <c r="B301" i="5"/>
  <c r="I300" i="5"/>
  <c r="C154" i="5"/>
  <c r="B133" i="5"/>
  <c r="I132" i="5"/>
  <c r="G132" i="5"/>
  <c r="F132" i="5"/>
  <c r="H132" i="5"/>
  <c r="C258" i="5"/>
  <c r="D257" i="5"/>
  <c r="E257" i="5"/>
  <c r="D89" i="5"/>
  <c r="C238" i="5"/>
  <c r="D237" i="5"/>
  <c r="E237" i="5"/>
  <c r="E236" i="5"/>
  <c r="B153" i="5"/>
  <c r="E153" i="5" s="1"/>
  <c r="I152" i="5"/>
  <c r="G152" i="5"/>
  <c r="H152" i="5"/>
  <c r="F152" i="5"/>
  <c r="C196" i="5"/>
  <c r="H173" i="5"/>
  <c r="F173" i="5"/>
  <c r="B174" i="5"/>
  <c r="I173" i="5"/>
  <c r="G173" i="5"/>
  <c r="E27" i="5"/>
  <c r="C28" i="5"/>
  <c r="D27" i="5"/>
  <c r="C280" i="5"/>
  <c r="D279" i="5"/>
  <c r="H48" i="5"/>
  <c r="F48" i="5"/>
  <c r="B49" i="5"/>
  <c r="I48" i="5"/>
  <c r="G48" i="5"/>
  <c r="D48" i="5"/>
  <c r="E299" i="5"/>
  <c r="C300" i="5"/>
  <c r="D299" i="5"/>
  <c r="B279" i="5"/>
  <c r="I278" i="5"/>
  <c r="G278" i="5"/>
  <c r="H278" i="5"/>
  <c r="F278" i="5"/>
  <c r="E69" i="5"/>
  <c r="C70" i="5"/>
  <c r="D69" i="5"/>
  <c r="B217" i="5"/>
  <c r="I216" i="5"/>
  <c r="G216" i="5"/>
  <c r="F216" i="5"/>
  <c r="H216" i="5"/>
  <c r="D152" i="5"/>
  <c r="E152" i="5"/>
  <c r="B111" i="5"/>
  <c r="I110" i="5"/>
  <c r="G110" i="5"/>
  <c r="H110" i="5"/>
  <c r="F110" i="5"/>
  <c r="E173" i="5"/>
  <c r="E174" i="5"/>
  <c r="C175" i="5"/>
  <c r="D174" i="5"/>
  <c r="B259" i="5"/>
  <c r="I258" i="5"/>
  <c r="G258" i="5"/>
  <c r="H258" i="5"/>
  <c r="F258" i="5"/>
  <c r="C91" i="5"/>
  <c r="D90" i="5"/>
  <c r="E89" i="5"/>
  <c r="D236" i="5"/>
  <c r="B195" i="5"/>
  <c r="I194" i="5"/>
  <c r="G194" i="5"/>
  <c r="F194" i="5"/>
  <c r="H194" i="5"/>
  <c r="D194" i="5"/>
  <c r="E194" i="5"/>
  <c r="C112" i="5"/>
  <c r="D111" i="5"/>
  <c r="E111" i="5"/>
  <c r="E110" i="5"/>
  <c r="C132" i="5"/>
  <c r="D131" i="5"/>
  <c r="E131" i="5"/>
  <c r="C216" i="5"/>
  <c r="D215" i="5"/>
  <c r="E215" i="5"/>
  <c r="D278" i="5"/>
  <c r="E48" i="5"/>
  <c r="E49" i="5"/>
  <c r="C50" i="5"/>
  <c r="D49" i="5"/>
  <c r="D298" i="3"/>
  <c r="E298" i="3"/>
  <c r="E277" i="3"/>
  <c r="D277" i="3"/>
  <c r="E256" i="3"/>
  <c r="D256" i="3"/>
  <c r="E235" i="3"/>
  <c r="D235" i="3"/>
  <c r="E215" i="3"/>
  <c r="D215" i="3"/>
  <c r="D193" i="3"/>
  <c r="E193" i="3"/>
  <c r="D173" i="3"/>
  <c r="E173" i="3"/>
  <c r="D151" i="3"/>
  <c r="D130" i="3"/>
  <c r="E130" i="3"/>
  <c r="D109" i="3"/>
  <c r="E109" i="3"/>
  <c r="D88" i="3"/>
  <c r="E88" i="3"/>
  <c r="D66" i="3"/>
  <c r="E66" i="3"/>
  <c r="E45" i="3"/>
  <c r="D45" i="3"/>
  <c r="E23" i="3"/>
  <c r="D23" i="3"/>
  <c r="B300" i="3"/>
  <c r="I299" i="3"/>
  <c r="G299" i="3"/>
  <c r="H299" i="3"/>
  <c r="F299" i="3"/>
  <c r="C299" i="3"/>
  <c r="B279" i="3"/>
  <c r="I278" i="3"/>
  <c r="G278" i="3"/>
  <c r="H278" i="3"/>
  <c r="F278" i="3"/>
  <c r="C278" i="3"/>
  <c r="B258" i="3"/>
  <c r="I257" i="3"/>
  <c r="G257" i="3"/>
  <c r="H257" i="3"/>
  <c r="F257" i="3"/>
  <c r="C257" i="3"/>
  <c r="B237" i="3"/>
  <c r="I236" i="3"/>
  <c r="G236" i="3"/>
  <c r="H236" i="3"/>
  <c r="F236" i="3"/>
  <c r="C236" i="3"/>
  <c r="C216" i="3"/>
  <c r="B216" i="3"/>
  <c r="I215" i="3"/>
  <c r="G215" i="3"/>
  <c r="H215" i="3"/>
  <c r="F215" i="3"/>
  <c r="C194" i="3"/>
  <c r="B195" i="3"/>
  <c r="I194" i="3"/>
  <c r="G194" i="3"/>
  <c r="H194" i="3"/>
  <c r="F194" i="3"/>
  <c r="C174" i="3"/>
  <c r="B174" i="3"/>
  <c r="I173" i="3"/>
  <c r="G173" i="3"/>
  <c r="F173" i="3"/>
  <c r="H173" i="3"/>
  <c r="B152" i="3"/>
  <c r="D152" i="3" s="1"/>
  <c r="I151" i="3"/>
  <c r="G151" i="3"/>
  <c r="H151" i="3"/>
  <c r="F151" i="3"/>
  <c r="C153" i="3"/>
  <c r="C131" i="3"/>
  <c r="B132" i="3"/>
  <c r="I131" i="3"/>
  <c r="G131" i="3"/>
  <c r="F131" i="3"/>
  <c r="H131" i="3"/>
  <c r="B111" i="3"/>
  <c r="I110" i="3"/>
  <c r="G110" i="3"/>
  <c r="H110" i="3"/>
  <c r="F110" i="3"/>
  <c r="C110" i="3"/>
  <c r="C89" i="3"/>
  <c r="B90" i="3"/>
  <c r="I89" i="3"/>
  <c r="G89" i="3"/>
  <c r="H89" i="3"/>
  <c r="F89" i="3"/>
  <c r="H46" i="3"/>
  <c r="F46" i="3"/>
  <c r="G46" i="3"/>
  <c r="I46" i="3"/>
  <c r="C26" i="3"/>
  <c r="C67" i="3"/>
  <c r="H67" i="3"/>
  <c r="F67" i="3"/>
  <c r="I67" i="3"/>
  <c r="B68" i="3"/>
  <c r="G67" i="3"/>
  <c r="C46" i="3"/>
  <c r="B47" i="3"/>
  <c r="H23" i="3"/>
  <c r="G23" i="3"/>
  <c r="F23" i="3"/>
  <c r="I23" i="3"/>
  <c r="B24" i="3"/>
  <c r="B134" i="6" l="1"/>
  <c r="I133" i="6"/>
  <c r="G133" i="6"/>
  <c r="H133" i="6"/>
  <c r="F133" i="6"/>
  <c r="C281" i="6"/>
  <c r="E280" i="6"/>
  <c r="B239" i="6"/>
  <c r="I238" i="6"/>
  <c r="G238" i="6"/>
  <c r="H238" i="6"/>
  <c r="F238" i="6"/>
  <c r="B50" i="6"/>
  <c r="I49" i="6"/>
  <c r="G49" i="6"/>
  <c r="H49" i="6"/>
  <c r="F49" i="6"/>
  <c r="C301" i="6"/>
  <c r="D300" i="6"/>
  <c r="E300" i="6"/>
  <c r="C175" i="6"/>
  <c r="D174" i="6"/>
  <c r="E174" i="6"/>
  <c r="B302" i="6"/>
  <c r="I301" i="6"/>
  <c r="G301" i="6"/>
  <c r="H301" i="6"/>
  <c r="F301" i="6"/>
  <c r="B217" i="6"/>
  <c r="I216" i="6"/>
  <c r="G216" i="6"/>
  <c r="H216" i="6"/>
  <c r="F216" i="6"/>
  <c r="C92" i="6"/>
  <c r="D91" i="6"/>
  <c r="C71" i="6"/>
  <c r="D70" i="6"/>
  <c r="E70" i="6"/>
  <c r="C133" i="6"/>
  <c r="D132" i="6"/>
  <c r="E132" i="6"/>
  <c r="D216" i="6"/>
  <c r="E216" i="6"/>
  <c r="C51" i="6"/>
  <c r="E50" i="6"/>
  <c r="C113" i="6"/>
  <c r="D112" i="6"/>
  <c r="H28" i="6"/>
  <c r="F28" i="6"/>
  <c r="B29" i="6"/>
  <c r="I28" i="6"/>
  <c r="G28" i="6"/>
  <c r="C238" i="6"/>
  <c r="D237" i="6"/>
  <c r="E237" i="6"/>
  <c r="B176" i="6"/>
  <c r="I175" i="6"/>
  <c r="G175" i="6"/>
  <c r="H175" i="6"/>
  <c r="F175" i="6"/>
  <c r="B91" i="6"/>
  <c r="I90" i="6"/>
  <c r="G90" i="6"/>
  <c r="H90" i="6"/>
  <c r="F90" i="6"/>
  <c r="B196" i="6"/>
  <c r="I195" i="6"/>
  <c r="G195" i="6"/>
  <c r="H195" i="6"/>
  <c r="F195" i="6"/>
  <c r="B72" i="6"/>
  <c r="I71" i="6"/>
  <c r="G71" i="6"/>
  <c r="F71" i="6"/>
  <c r="H71" i="6"/>
  <c r="B260" i="6"/>
  <c r="I259" i="6"/>
  <c r="G259" i="6"/>
  <c r="H259" i="6"/>
  <c r="F259" i="6"/>
  <c r="D90" i="6"/>
  <c r="E90" i="6"/>
  <c r="B280" i="6"/>
  <c r="I279" i="6"/>
  <c r="G279" i="6"/>
  <c r="H279" i="6"/>
  <c r="F279" i="6"/>
  <c r="C259" i="6"/>
  <c r="D258" i="6"/>
  <c r="E258" i="6"/>
  <c r="E27" i="6"/>
  <c r="C28" i="6"/>
  <c r="D27" i="6"/>
  <c r="C218" i="6"/>
  <c r="E217" i="6"/>
  <c r="B112" i="6"/>
  <c r="I111" i="6"/>
  <c r="G111" i="6"/>
  <c r="H111" i="6"/>
  <c r="F111" i="6"/>
  <c r="C197" i="6"/>
  <c r="E196" i="6"/>
  <c r="D49" i="6"/>
  <c r="E49" i="6"/>
  <c r="D111" i="6"/>
  <c r="E111" i="6"/>
  <c r="B154" i="6"/>
  <c r="I153" i="6"/>
  <c r="G153" i="6"/>
  <c r="H153" i="6"/>
  <c r="F153" i="6"/>
  <c r="C155" i="6"/>
  <c r="D154" i="6"/>
  <c r="E154" i="6"/>
  <c r="I69" i="5"/>
  <c r="F69" i="5"/>
  <c r="B70" i="5"/>
  <c r="G69" i="5"/>
  <c r="H69" i="5"/>
  <c r="E216" i="5"/>
  <c r="C217" i="5"/>
  <c r="D216" i="5"/>
  <c r="H195" i="5"/>
  <c r="F195" i="5"/>
  <c r="G195" i="5"/>
  <c r="B196" i="5"/>
  <c r="I195" i="5"/>
  <c r="H259" i="5"/>
  <c r="F259" i="5"/>
  <c r="B260" i="5"/>
  <c r="I259" i="5"/>
  <c r="G259" i="5"/>
  <c r="C176" i="5"/>
  <c r="B50" i="5"/>
  <c r="I49" i="5"/>
  <c r="G49" i="5"/>
  <c r="H49" i="5"/>
  <c r="F49" i="5"/>
  <c r="E195" i="5"/>
  <c r="E196" i="5"/>
  <c r="C197" i="5"/>
  <c r="E258" i="5"/>
  <c r="D258" i="5"/>
  <c r="C259" i="5"/>
  <c r="C155" i="5"/>
  <c r="B302" i="5"/>
  <c r="I301" i="5"/>
  <c r="G301" i="5"/>
  <c r="H301" i="5"/>
  <c r="F301" i="5"/>
  <c r="H90" i="5"/>
  <c r="F90" i="5"/>
  <c r="B91" i="5"/>
  <c r="I90" i="5"/>
  <c r="G90" i="5"/>
  <c r="B30" i="5"/>
  <c r="I29" i="5"/>
  <c r="G29" i="5"/>
  <c r="H29" i="5"/>
  <c r="F29" i="5"/>
  <c r="C51" i="5"/>
  <c r="E50" i="5"/>
  <c r="E132" i="5"/>
  <c r="C133" i="5"/>
  <c r="D132" i="5"/>
  <c r="C113" i="5"/>
  <c r="E90" i="5"/>
  <c r="E91" i="5"/>
  <c r="C92" i="5"/>
  <c r="D91" i="5"/>
  <c r="H111" i="5"/>
  <c r="F111" i="5"/>
  <c r="B112" i="5"/>
  <c r="E112" i="5" s="1"/>
  <c r="I111" i="5"/>
  <c r="G111" i="5"/>
  <c r="H217" i="5"/>
  <c r="F217" i="5"/>
  <c r="G217" i="5"/>
  <c r="B218" i="5"/>
  <c r="I217" i="5"/>
  <c r="C71" i="5"/>
  <c r="D70" i="5"/>
  <c r="E70" i="5"/>
  <c r="H279" i="5"/>
  <c r="F279" i="5"/>
  <c r="B280" i="5"/>
  <c r="I279" i="5"/>
  <c r="G279" i="5"/>
  <c r="C301" i="5"/>
  <c r="D300" i="5"/>
  <c r="E300" i="5"/>
  <c r="E279" i="5"/>
  <c r="E280" i="5"/>
  <c r="C281" i="5"/>
  <c r="D280" i="5"/>
  <c r="C29" i="5"/>
  <c r="D28" i="5"/>
  <c r="E28" i="5"/>
  <c r="B175" i="5"/>
  <c r="I174" i="5"/>
  <c r="G174" i="5"/>
  <c r="H174" i="5"/>
  <c r="F174" i="5"/>
  <c r="D195" i="5"/>
  <c r="H153" i="5"/>
  <c r="F153" i="5"/>
  <c r="B154" i="5"/>
  <c r="I153" i="5"/>
  <c r="G153" i="5"/>
  <c r="C239" i="5"/>
  <c r="H133" i="5"/>
  <c r="F133" i="5"/>
  <c r="G133" i="5"/>
  <c r="B134" i="5"/>
  <c r="I133" i="5"/>
  <c r="D153" i="5"/>
  <c r="H237" i="5"/>
  <c r="F237" i="5"/>
  <c r="B238" i="5"/>
  <c r="I237" i="5"/>
  <c r="G237" i="5"/>
  <c r="D299" i="3"/>
  <c r="E299" i="3"/>
  <c r="E278" i="3"/>
  <c r="D278" i="3"/>
  <c r="E257" i="3"/>
  <c r="D257" i="3"/>
  <c r="E236" i="3"/>
  <c r="D236" i="3"/>
  <c r="E216" i="3"/>
  <c r="D216" i="3"/>
  <c r="D194" i="3"/>
  <c r="E194" i="3"/>
  <c r="D174" i="3"/>
  <c r="E174" i="3"/>
  <c r="E152" i="3"/>
  <c r="D131" i="3"/>
  <c r="E131" i="3"/>
  <c r="D110" i="3"/>
  <c r="E110" i="3"/>
  <c r="D89" i="3"/>
  <c r="E89" i="3"/>
  <c r="D67" i="3"/>
  <c r="E67" i="3"/>
  <c r="E46" i="3"/>
  <c r="D46" i="3"/>
  <c r="D24" i="3"/>
  <c r="E24" i="3"/>
  <c r="C300" i="3"/>
  <c r="H300" i="3"/>
  <c r="F300" i="3"/>
  <c r="I300" i="3"/>
  <c r="B301" i="3"/>
  <c r="G300" i="3"/>
  <c r="C279" i="3"/>
  <c r="H279" i="3"/>
  <c r="F279" i="3"/>
  <c r="I279" i="3"/>
  <c r="B280" i="3"/>
  <c r="G279" i="3"/>
  <c r="C258" i="3"/>
  <c r="H258" i="3"/>
  <c r="F258" i="3"/>
  <c r="I258" i="3"/>
  <c r="B259" i="3"/>
  <c r="G258" i="3"/>
  <c r="C237" i="3"/>
  <c r="H237" i="3"/>
  <c r="F237" i="3"/>
  <c r="I237" i="3"/>
  <c r="B238" i="3"/>
  <c r="G237" i="3"/>
  <c r="H216" i="3"/>
  <c r="F216" i="3"/>
  <c r="I216" i="3"/>
  <c r="B217" i="3"/>
  <c r="G216" i="3"/>
  <c r="C217" i="3"/>
  <c r="H195" i="3"/>
  <c r="F195" i="3"/>
  <c r="B196" i="3"/>
  <c r="I195" i="3"/>
  <c r="G195" i="3"/>
  <c r="C195" i="3"/>
  <c r="H174" i="3"/>
  <c r="F174" i="3"/>
  <c r="B175" i="3"/>
  <c r="G174" i="3"/>
  <c r="I174" i="3"/>
  <c r="C175" i="3"/>
  <c r="H152" i="3"/>
  <c r="F152" i="3"/>
  <c r="I152" i="3"/>
  <c r="B153" i="3"/>
  <c r="E153" i="3" s="1"/>
  <c r="G152" i="3"/>
  <c r="C154" i="3"/>
  <c r="H132" i="3"/>
  <c r="F132" i="3"/>
  <c r="B133" i="3"/>
  <c r="G132" i="3"/>
  <c r="I132" i="3"/>
  <c r="C132" i="3"/>
  <c r="C111" i="3"/>
  <c r="H111" i="3"/>
  <c r="F111" i="3"/>
  <c r="I111" i="3"/>
  <c r="B112" i="3"/>
  <c r="G111" i="3"/>
  <c r="H90" i="3"/>
  <c r="F90" i="3"/>
  <c r="B91" i="3"/>
  <c r="I90" i="3"/>
  <c r="G90" i="3"/>
  <c r="C90" i="3"/>
  <c r="C27" i="3"/>
  <c r="H47" i="3"/>
  <c r="F47" i="3"/>
  <c r="G47" i="3"/>
  <c r="I47" i="3"/>
  <c r="B69" i="3"/>
  <c r="I68" i="3"/>
  <c r="G68" i="3"/>
  <c r="H68" i="3"/>
  <c r="F68" i="3"/>
  <c r="C68" i="3"/>
  <c r="C47" i="3"/>
  <c r="B48" i="3"/>
  <c r="H24" i="3"/>
  <c r="G24" i="3"/>
  <c r="F24" i="3"/>
  <c r="I24" i="3"/>
  <c r="B25" i="3"/>
  <c r="C156" i="6" l="1"/>
  <c r="C198" i="6"/>
  <c r="D197" i="6"/>
  <c r="C219" i="6"/>
  <c r="C29" i="6"/>
  <c r="D28" i="6"/>
  <c r="E28" i="6"/>
  <c r="E259" i="6"/>
  <c r="C260" i="6"/>
  <c r="D259" i="6"/>
  <c r="H260" i="6"/>
  <c r="F260" i="6"/>
  <c r="B261" i="6"/>
  <c r="I260" i="6"/>
  <c r="G260" i="6"/>
  <c r="H196" i="6"/>
  <c r="F196" i="6"/>
  <c r="B197" i="6"/>
  <c r="I196" i="6"/>
  <c r="G196" i="6"/>
  <c r="H176" i="6"/>
  <c r="F176" i="6"/>
  <c r="B177" i="6"/>
  <c r="I176" i="6"/>
  <c r="G176" i="6"/>
  <c r="B30" i="6"/>
  <c r="I29" i="6"/>
  <c r="G29" i="6"/>
  <c r="H29" i="6"/>
  <c r="F29" i="6"/>
  <c r="C52" i="6"/>
  <c r="C72" i="6"/>
  <c r="E71" i="6"/>
  <c r="D71" i="6"/>
  <c r="H217" i="6"/>
  <c r="F217" i="6"/>
  <c r="B218" i="6"/>
  <c r="I217" i="6"/>
  <c r="G217" i="6"/>
  <c r="E175" i="6"/>
  <c r="C176" i="6"/>
  <c r="D175" i="6"/>
  <c r="H50" i="6"/>
  <c r="F50" i="6"/>
  <c r="B51" i="6"/>
  <c r="I50" i="6"/>
  <c r="G50" i="6"/>
  <c r="E281" i="6"/>
  <c r="C282" i="6"/>
  <c r="D281" i="6"/>
  <c r="H154" i="6"/>
  <c r="F154" i="6"/>
  <c r="B155" i="6"/>
  <c r="I154" i="6"/>
  <c r="G154" i="6"/>
  <c r="D196" i="6"/>
  <c r="H112" i="6"/>
  <c r="F112" i="6"/>
  <c r="B113" i="6"/>
  <c r="I112" i="6"/>
  <c r="G112" i="6"/>
  <c r="D217" i="6"/>
  <c r="H280" i="6"/>
  <c r="F280" i="6"/>
  <c r="B281" i="6"/>
  <c r="I280" i="6"/>
  <c r="G280" i="6"/>
  <c r="B73" i="6"/>
  <c r="I72" i="6"/>
  <c r="G72" i="6"/>
  <c r="H72" i="6"/>
  <c r="F72" i="6"/>
  <c r="H91" i="6"/>
  <c r="F91" i="6"/>
  <c r="B92" i="6"/>
  <c r="I91" i="6"/>
  <c r="G91" i="6"/>
  <c r="E238" i="6"/>
  <c r="C239" i="6"/>
  <c r="D238" i="6"/>
  <c r="E112" i="6"/>
  <c r="E113" i="6"/>
  <c r="C114" i="6"/>
  <c r="D113" i="6"/>
  <c r="D50" i="6"/>
  <c r="E133" i="6"/>
  <c r="C134" i="6"/>
  <c r="D133" i="6"/>
  <c r="E91" i="6"/>
  <c r="E92" i="6"/>
  <c r="C94" i="6"/>
  <c r="C93" i="6"/>
  <c r="D92" i="6"/>
  <c r="H302" i="6"/>
  <c r="F302" i="6"/>
  <c r="B303" i="6"/>
  <c r="I302" i="6"/>
  <c r="G302" i="6"/>
  <c r="E301" i="6"/>
  <c r="C302" i="6"/>
  <c r="D301" i="6"/>
  <c r="H239" i="6"/>
  <c r="F239" i="6"/>
  <c r="B240" i="6"/>
  <c r="I239" i="6"/>
  <c r="G239" i="6"/>
  <c r="D280" i="6"/>
  <c r="H134" i="6"/>
  <c r="F134" i="6"/>
  <c r="B135" i="6"/>
  <c r="I134" i="6"/>
  <c r="G134" i="6"/>
  <c r="D112" i="5"/>
  <c r="F70" i="5"/>
  <c r="B71" i="5"/>
  <c r="H70" i="5"/>
  <c r="G70" i="5"/>
  <c r="I70" i="5"/>
  <c r="B239" i="5"/>
  <c r="I238" i="5"/>
  <c r="G238" i="5"/>
  <c r="F238" i="5"/>
  <c r="H238" i="5"/>
  <c r="C240" i="5"/>
  <c r="D239" i="5"/>
  <c r="B155" i="5"/>
  <c r="I154" i="5"/>
  <c r="G154" i="5"/>
  <c r="H154" i="5"/>
  <c r="F154" i="5"/>
  <c r="H175" i="5"/>
  <c r="F175" i="5"/>
  <c r="B176" i="5"/>
  <c r="I175" i="5"/>
  <c r="G175" i="5"/>
  <c r="E301" i="5"/>
  <c r="D301" i="5"/>
  <c r="C302" i="5"/>
  <c r="E71" i="5"/>
  <c r="D71" i="5"/>
  <c r="C72" i="5"/>
  <c r="B219" i="5"/>
  <c r="I218" i="5"/>
  <c r="G218" i="5"/>
  <c r="H218" i="5"/>
  <c r="F218" i="5"/>
  <c r="C134" i="5"/>
  <c r="D133" i="5"/>
  <c r="E133" i="5"/>
  <c r="C52" i="5"/>
  <c r="B92" i="5"/>
  <c r="I91" i="5"/>
  <c r="G91" i="5"/>
  <c r="F91" i="5"/>
  <c r="H91" i="5"/>
  <c r="D154" i="5"/>
  <c r="E154" i="5"/>
  <c r="C198" i="5"/>
  <c r="H50" i="5"/>
  <c r="F50" i="5"/>
  <c r="B51" i="5"/>
  <c r="I50" i="5"/>
  <c r="G50" i="5"/>
  <c r="D175" i="5"/>
  <c r="B261" i="5"/>
  <c r="I260" i="5"/>
  <c r="G260" i="5"/>
  <c r="F260" i="5"/>
  <c r="H260" i="5"/>
  <c r="B197" i="5"/>
  <c r="D197" i="5" s="1"/>
  <c r="I196" i="5"/>
  <c r="G196" i="5"/>
  <c r="H196" i="5"/>
  <c r="F196" i="5"/>
  <c r="B135" i="5"/>
  <c r="I134" i="5"/>
  <c r="G134" i="5"/>
  <c r="H134" i="5"/>
  <c r="F134" i="5"/>
  <c r="D238" i="5"/>
  <c r="E238" i="5"/>
  <c r="E29" i="5"/>
  <c r="C30" i="5"/>
  <c r="D29" i="5"/>
  <c r="C282" i="5"/>
  <c r="B281" i="5"/>
  <c r="I280" i="5"/>
  <c r="G280" i="5"/>
  <c r="F280" i="5"/>
  <c r="H280" i="5"/>
  <c r="B113" i="5"/>
  <c r="E113" i="5" s="1"/>
  <c r="I112" i="5"/>
  <c r="G112" i="5"/>
  <c r="F112" i="5"/>
  <c r="H112" i="5"/>
  <c r="C94" i="5"/>
  <c r="C93" i="5"/>
  <c r="D92" i="5"/>
  <c r="C114" i="5"/>
  <c r="D113" i="5"/>
  <c r="D50" i="5"/>
  <c r="H30" i="5"/>
  <c r="F30" i="5"/>
  <c r="B31" i="5"/>
  <c r="I30" i="5"/>
  <c r="G30" i="5"/>
  <c r="H302" i="5"/>
  <c r="F302" i="5"/>
  <c r="B303" i="5"/>
  <c r="I302" i="5"/>
  <c r="G302" i="5"/>
  <c r="C156" i="5"/>
  <c r="D155" i="5"/>
  <c r="E155" i="5"/>
  <c r="C260" i="5"/>
  <c r="D259" i="5"/>
  <c r="E259" i="5"/>
  <c r="D196" i="5"/>
  <c r="E175" i="5"/>
  <c r="E176" i="5"/>
  <c r="C177" i="5"/>
  <c r="D176" i="5"/>
  <c r="C218" i="5"/>
  <c r="D217" i="5"/>
  <c r="E217" i="5"/>
  <c r="D300" i="3"/>
  <c r="E300" i="3"/>
  <c r="E279" i="3"/>
  <c r="D279" i="3"/>
  <c r="E258" i="3"/>
  <c r="D258" i="3"/>
  <c r="E237" i="3"/>
  <c r="D237" i="3"/>
  <c r="E217" i="3"/>
  <c r="D217" i="3"/>
  <c r="D195" i="3"/>
  <c r="E195" i="3"/>
  <c r="D175" i="3"/>
  <c r="E175" i="3"/>
  <c r="D153" i="3"/>
  <c r="D132" i="3"/>
  <c r="E132" i="3"/>
  <c r="D111" i="3"/>
  <c r="E111" i="3"/>
  <c r="D90" i="3"/>
  <c r="E90" i="3"/>
  <c r="D68" i="3"/>
  <c r="E68" i="3"/>
  <c r="E47" i="3"/>
  <c r="D47" i="3"/>
  <c r="E25" i="3"/>
  <c r="D25" i="3"/>
  <c r="B302" i="3"/>
  <c r="I301" i="3"/>
  <c r="G301" i="3"/>
  <c r="H301" i="3"/>
  <c r="F301" i="3"/>
  <c r="C301" i="3"/>
  <c r="B281" i="3"/>
  <c r="I280" i="3"/>
  <c r="G280" i="3"/>
  <c r="H280" i="3"/>
  <c r="F280" i="3"/>
  <c r="C280" i="3"/>
  <c r="B260" i="3"/>
  <c r="I259" i="3"/>
  <c r="G259" i="3"/>
  <c r="H259" i="3"/>
  <c r="F259" i="3"/>
  <c r="C259" i="3"/>
  <c r="B239" i="3"/>
  <c r="I238" i="3"/>
  <c r="G238" i="3"/>
  <c r="H238" i="3"/>
  <c r="F238" i="3"/>
  <c r="C238" i="3"/>
  <c r="C218" i="3"/>
  <c r="B218" i="3"/>
  <c r="I217" i="3"/>
  <c r="G217" i="3"/>
  <c r="H217" i="3"/>
  <c r="F217" i="3"/>
  <c r="C196" i="3"/>
  <c r="B197" i="3"/>
  <c r="I196" i="3"/>
  <c r="G196" i="3"/>
  <c r="H196" i="3"/>
  <c r="F196" i="3"/>
  <c r="C176" i="3"/>
  <c r="B176" i="3"/>
  <c r="I175" i="3"/>
  <c r="G175" i="3"/>
  <c r="F175" i="3"/>
  <c r="H175" i="3"/>
  <c r="C155" i="3"/>
  <c r="B154" i="3"/>
  <c r="D154" i="3" s="1"/>
  <c r="I153" i="3"/>
  <c r="G153" i="3"/>
  <c r="H153" i="3"/>
  <c r="F153" i="3"/>
  <c r="C133" i="3"/>
  <c r="B134" i="3"/>
  <c r="I133" i="3"/>
  <c r="G133" i="3"/>
  <c r="F133" i="3"/>
  <c r="H133" i="3"/>
  <c r="B113" i="3"/>
  <c r="I112" i="3"/>
  <c r="G112" i="3"/>
  <c r="H112" i="3"/>
  <c r="F112" i="3"/>
  <c r="C112" i="3"/>
  <c r="C91" i="3"/>
  <c r="B92" i="3"/>
  <c r="I91" i="3"/>
  <c r="G91" i="3"/>
  <c r="H91" i="3"/>
  <c r="F91" i="3"/>
  <c r="H48" i="3"/>
  <c r="F48" i="3"/>
  <c r="G48" i="3"/>
  <c r="I48" i="3"/>
  <c r="C28" i="3"/>
  <c r="C69" i="3"/>
  <c r="H69" i="3"/>
  <c r="F69" i="3"/>
  <c r="I69" i="3"/>
  <c r="B70" i="3"/>
  <c r="G69" i="3"/>
  <c r="C48" i="3"/>
  <c r="B49" i="3"/>
  <c r="H25" i="3"/>
  <c r="G25" i="3"/>
  <c r="F25" i="3"/>
  <c r="I25" i="3"/>
  <c r="B26" i="3"/>
  <c r="B136" i="6" l="1"/>
  <c r="I135" i="6"/>
  <c r="G135" i="6"/>
  <c r="H135" i="6"/>
  <c r="F135" i="6"/>
  <c r="B241" i="6"/>
  <c r="I240" i="6"/>
  <c r="G240" i="6"/>
  <c r="H240" i="6"/>
  <c r="F240" i="6"/>
  <c r="C303" i="6"/>
  <c r="D302" i="6"/>
  <c r="E302" i="6"/>
  <c r="B304" i="6"/>
  <c r="I303" i="6"/>
  <c r="G303" i="6"/>
  <c r="H303" i="6"/>
  <c r="F303" i="6"/>
  <c r="C115" i="6"/>
  <c r="C240" i="6"/>
  <c r="D239" i="6"/>
  <c r="E239" i="6"/>
  <c r="H73" i="6"/>
  <c r="F73" i="6"/>
  <c r="I73" i="6"/>
  <c r="G73" i="6"/>
  <c r="E72" i="6"/>
  <c r="C73" i="6"/>
  <c r="D72" i="6"/>
  <c r="H30" i="6"/>
  <c r="F30" i="6"/>
  <c r="B31" i="6"/>
  <c r="I30" i="6"/>
  <c r="G30" i="6"/>
  <c r="B178" i="6"/>
  <c r="I177" i="6"/>
  <c r="G177" i="6"/>
  <c r="H177" i="6"/>
  <c r="F177" i="6"/>
  <c r="B262" i="6"/>
  <c r="I261" i="6"/>
  <c r="G261" i="6"/>
  <c r="H261" i="6"/>
  <c r="F261" i="6"/>
  <c r="C261" i="6"/>
  <c r="D260" i="6"/>
  <c r="E260" i="6"/>
  <c r="E29" i="6"/>
  <c r="C30" i="6"/>
  <c r="D29" i="6"/>
  <c r="C220" i="6"/>
  <c r="E219" i="6"/>
  <c r="C199" i="6"/>
  <c r="C157" i="6"/>
  <c r="E156" i="6"/>
  <c r="D94" i="6"/>
  <c r="E94" i="6"/>
  <c r="C135" i="6"/>
  <c r="D134" i="6"/>
  <c r="E134" i="6"/>
  <c r="B93" i="6"/>
  <c r="I92" i="6"/>
  <c r="G92" i="6"/>
  <c r="H92" i="6"/>
  <c r="F92" i="6"/>
  <c r="B282" i="6"/>
  <c r="I281" i="6"/>
  <c r="G281" i="6"/>
  <c r="H281" i="6"/>
  <c r="F281" i="6"/>
  <c r="B114" i="6"/>
  <c r="I113" i="6"/>
  <c r="G113" i="6"/>
  <c r="H113" i="6"/>
  <c r="F113" i="6"/>
  <c r="B156" i="6"/>
  <c r="I155" i="6"/>
  <c r="G155" i="6"/>
  <c r="H155" i="6"/>
  <c r="F155" i="6"/>
  <c r="C283" i="6"/>
  <c r="D282" i="6"/>
  <c r="E282" i="6"/>
  <c r="B52" i="6"/>
  <c r="E52" i="6" s="1"/>
  <c r="I51" i="6"/>
  <c r="G51" i="6"/>
  <c r="H51" i="6"/>
  <c r="F51" i="6"/>
  <c r="C177" i="6"/>
  <c r="D176" i="6"/>
  <c r="E176" i="6"/>
  <c r="B219" i="6"/>
  <c r="I218" i="6"/>
  <c r="G218" i="6"/>
  <c r="H218" i="6"/>
  <c r="F218" i="6"/>
  <c r="D51" i="6"/>
  <c r="E51" i="6"/>
  <c r="B198" i="6"/>
  <c r="I197" i="6"/>
  <c r="G197" i="6"/>
  <c r="H197" i="6"/>
  <c r="F197" i="6"/>
  <c r="D218" i="6"/>
  <c r="E218" i="6"/>
  <c r="E197" i="6"/>
  <c r="D155" i="6"/>
  <c r="E155" i="6"/>
  <c r="I71" i="5"/>
  <c r="H71" i="5"/>
  <c r="B72" i="5"/>
  <c r="G71" i="5"/>
  <c r="F71" i="5"/>
  <c r="C157" i="5"/>
  <c r="I31" i="5"/>
  <c r="G31" i="5"/>
  <c r="H31" i="5"/>
  <c r="F31" i="5"/>
  <c r="C115" i="5"/>
  <c r="E94" i="5"/>
  <c r="D94" i="5"/>
  <c r="H281" i="5"/>
  <c r="F281" i="5"/>
  <c r="G281" i="5"/>
  <c r="B282" i="5"/>
  <c r="I281" i="5"/>
  <c r="D281" i="5"/>
  <c r="H261" i="5"/>
  <c r="F261" i="5"/>
  <c r="G261" i="5"/>
  <c r="B262" i="5"/>
  <c r="I261" i="5"/>
  <c r="B52" i="5"/>
  <c r="I51" i="5"/>
  <c r="G51" i="5"/>
  <c r="H51" i="5"/>
  <c r="F51" i="5"/>
  <c r="H92" i="5"/>
  <c r="F92" i="5"/>
  <c r="G92" i="5"/>
  <c r="B93" i="5"/>
  <c r="D93" i="5" s="1"/>
  <c r="I92" i="5"/>
  <c r="D52" i="5"/>
  <c r="E52" i="5"/>
  <c r="E134" i="5"/>
  <c r="D134" i="5"/>
  <c r="C135" i="5"/>
  <c r="C73" i="5"/>
  <c r="D72" i="5"/>
  <c r="E72" i="5"/>
  <c r="B177" i="5"/>
  <c r="D177" i="5" s="1"/>
  <c r="I176" i="5"/>
  <c r="G176" i="5"/>
  <c r="H176" i="5"/>
  <c r="F176" i="5"/>
  <c r="H239" i="5"/>
  <c r="F239" i="5"/>
  <c r="G239" i="5"/>
  <c r="B240" i="5"/>
  <c r="I239" i="5"/>
  <c r="E218" i="5"/>
  <c r="D218" i="5"/>
  <c r="C219" i="5"/>
  <c r="C178" i="5"/>
  <c r="E260" i="5"/>
  <c r="C261" i="5"/>
  <c r="D260" i="5"/>
  <c r="B304" i="5"/>
  <c r="I303" i="5"/>
  <c r="G303" i="5"/>
  <c r="F303" i="5"/>
  <c r="H303" i="5"/>
  <c r="E92" i="5"/>
  <c r="E93" i="5"/>
  <c r="H113" i="5"/>
  <c r="F113" i="5"/>
  <c r="G113" i="5"/>
  <c r="B114" i="5"/>
  <c r="I113" i="5"/>
  <c r="E281" i="5"/>
  <c r="E282" i="5"/>
  <c r="D282" i="5"/>
  <c r="C283" i="5"/>
  <c r="C31" i="5"/>
  <c r="D30" i="5"/>
  <c r="E30" i="5"/>
  <c r="H135" i="5"/>
  <c r="F135" i="5"/>
  <c r="B136" i="5"/>
  <c r="I135" i="5"/>
  <c r="G135" i="5"/>
  <c r="H197" i="5"/>
  <c r="F197" i="5"/>
  <c r="B198" i="5"/>
  <c r="E198" i="5" s="1"/>
  <c r="I197" i="5"/>
  <c r="G197" i="5"/>
  <c r="E197" i="5"/>
  <c r="C199" i="5"/>
  <c r="D51" i="5"/>
  <c r="E51" i="5"/>
  <c r="H219" i="5"/>
  <c r="F219" i="5"/>
  <c r="B220" i="5"/>
  <c r="I219" i="5"/>
  <c r="G219" i="5"/>
  <c r="C303" i="5"/>
  <c r="D302" i="5"/>
  <c r="E302" i="5"/>
  <c r="H155" i="5"/>
  <c r="F155" i="5"/>
  <c r="B156" i="5"/>
  <c r="E156" i="5" s="1"/>
  <c r="I155" i="5"/>
  <c r="G155" i="5"/>
  <c r="E239" i="5"/>
  <c r="C241" i="5"/>
  <c r="E240" i="5"/>
  <c r="D301" i="3"/>
  <c r="E301" i="3"/>
  <c r="E280" i="3"/>
  <c r="D280" i="3"/>
  <c r="E259" i="3"/>
  <c r="D259" i="3"/>
  <c r="E238" i="3"/>
  <c r="D238" i="3"/>
  <c r="E218" i="3"/>
  <c r="D218" i="3"/>
  <c r="D196" i="3"/>
  <c r="E196" i="3"/>
  <c r="D176" i="3"/>
  <c r="E176" i="3"/>
  <c r="E154" i="3"/>
  <c r="D133" i="3"/>
  <c r="E133" i="3"/>
  <c r="D112" i="3"/>
  <c r="E112" i="3"/>
  <c r="D91" i="3"/>
  <c r="E91" i="3"/>
  <c r="D69" i="3"/>
  <c r="E69" i="3"/>
  <c r="E48" i="3"/>
  <c r="D48" i="3"/>
  <c r="D26" i="3"/>
  <c r="E26" i="3"/>
  <c r="C302" i="3"/>
  <c r="H302" i="3"/>
  <c r="F302" i="3"/>
  <c r="I302" i="3"/>
  <c r="B303" i="3"/>
  <c r="G302" i="3"/>
  <c r="C281" i="3"/>
  <c r="H281" i="3"/>
  <c r="F281" i="3"/>
  <c r="I281" i="3"/>
  <c r="B282" i="3"/>
  <c r="G281" i="3"/>
  <c r="C260" i="3"/>
  <c r="H260" i="3"/>
  <c r="F260" i="3"/>
  <c r="I260" i="3"/>
  <c r="B261" i="3"/>
  <c r="G260" i="3"/>
  <c r="C239" i="3"/>
  <c r="H239" i="3"/>
  <c r="F239" i="3"/>
  <c r="I239" i="3"/>
  <c r="B240" i="3"/>
  <c r="G239" i="3"/>
  <c r="H218" i="3"/>
  <c r="F218" i="3"/>
  <c r="I218" i="3"/>
  <c r="B219" i="3"/>
  <c r="G218" i="3"/>
  <c r="C219" i="3"/>
  <c r="H197" i="3"/>
  <c r="F197" i="3"/>
  <c r="B198" i="3"/>
  <c r="I197" i="3"/>
  <c r="G197" i="3"/>
  <c r="C197" i="3"/>
  <c r="H176" i="3"/>
  <c r="F176" i="3"/>
  <c r="B177" i="3"/>
  <c r="G176" i="3"/>
  <c r="I176" i="3"/>
  <c r="C177" i="3"/>
  <c r="H154" i="3"/>
  <c r="F154" i="3"/>
  <c r="I154" i="3"/>
  <c r="B155" i="3"/>
  <c r="E155" i="3" s="1"/>
  <c r="G154" i="3"/>
  <c r="C156" i="3"/>
  <c r="H134" i="3"/>
  <c r="F134" i="3"/>
  <c r="B135" i="3"/>
  <c r="G134" i="3"/>
  <c r="I134" i="3"/>
  <c r="C134" i="3"/>
  <c r="C113" i="3"/>
  <c r="H113" i="3"/>
  <c r="F113" i="3"/>
  <c r="I113" i="3"/>
  <c r="B114" i="3"/>
  <c r="G113" i="3"/>
  <c r="H92" i="3"/>
  <c r="F92" i="3"/>
  <c r="B93" i="3"/>
  <c r="I92" i="3"/>
  <c r="G92" i="3"/>
  <c r="C92" i="3"/>
  <c r="H49" i="3"/>
  <c r="F49" i="3"/>
  <c r="G49" i="3"/>
  <c r="I49" i="3"/>
  <c r="C29" i="3"/>
  <c r="B71" i="3"/>
  <c r="I70" i="3"/>
  <c r="G70" i="3"/>
  <c r="H70" i="3"/>
  <c r="F70" i="3"/>
  <c r="C70" i="3"/>
  <c r="C49" i="3"/>
  <c r="B50" i="3"/>
  <c r="H26" i="3"/>
  <c r="G26" i="3"/>
  <c r="F26" i="3"/>
  <c r="I26" i="3"/>
  <c r="B27" i="3"/>
  <c r="B199" i="6" l="1"/>
  <c r="I198" i="6"/>
  <c r="G198" i="6"/>
  <c r="H198" i="6"/>
  <c r="F198" i="6"/>
  <c r="E177" i="6"/>
  <c r="C178" i="6"/>
  <c r="D177" i="6"/>
  <c r="H114" i="6"/>
  <c r="F114" i="6"/>
  <c r="B115" i="6"/>
  <c r="I114" i="6"/>
  <c r="G114" i="6"/>
  <c r="H93" i="6"/>
  <c r="F93" i="6"/>
  <c r="I93" i="6"/>
  <c r="G93" i="6"/>
  <c r="D157" i="6"/>
  <c r="D199" i="6"/>
  <c r="E199" i="6"/>
  <c r="C31" i="6"/>
  <c r="D30" i="6"/>
  <c r="E30" i="6"/>
  <c r="E261" i="6"/>
  <c r="C262" i="6"/>
  <c r="D261" i="6"/>
  <c r="H178" i="6"/>
  <c r="F178" i="6"/>
  <c r="I178" i="6"/>
  <c r="G178" i="6"/>
  <c r="E240" i="6"/>
  <c r="C241" i="6"/>
  <c r="D240" i="6"/>
  <c r="D114" i="6"/>
  <c r="E93" i="6"/>
  <c r="H304" i="6"/>
  <c r="F304" i="6"/>
  <c r="I304" i="6"/>
  <c r="G304" i="6"/>
  <c r="H241" i="6"/>
  <c r="F241" i="6"/>
  <c r="I241" i="6"/>
  <c r="G241" i="6"/>
  <c r="H219" i="6"/>
  <c r="F219" i="6"/>
  <c r="B220" i="6"/>
  <c r="I219" i="6"/>
  <c r="G219" i="6"/>
  <c r="H52" i="6"/>
  <c r="F52" i="6"/>
  <c r="I52" i="6"/>
  <c r="G52" i="6"/>
  <c r="H156" i="6"/>
  <c r="F156" i="6"/>
  <c r="B157" i="6"/>
  <c r="I156" i="6"/>
  <c r="G156" i="6"/>
  <c r="H282" i="6"/>
  <c r="F282" i="6"/>
  <c r="B283" i="6"/>
  <c r="I282" i="6"/>
  <c r="G282" i="6"/>
  <c r="E135" i="6"/>
  <c r="C136" i="6"/>
  <c r="D135" i="6"/>
  <c r="D156" i="6"/>
  <c r="D198" i="6"/>
  <c r="E198" i="6"/>
  <c r="D219" i="6"/>
  <c r="H262" i="6"/>
  <c r="F262" i="6"/>
  <c r="I262" i="6"/>
  <c r="G262" i="6"/>
  <c r="I31" i="6"/>
  <c r="G31" i="6"/>
  <c r="H31" i="6"/>
  <c r="F31" i="6"/>
  <c r="D52" i="6"/>
  <c r="D73" i="6"/>
  <c r="E73" i="6"/>
  <c r="E114" i="6"/>
  <c r="E115" i="6"/>
  <c r="D115" i="6"/>
  <c r="D93" i="6"/>
  <c r="E303" i="6"/>
  <c r="C304" i="6"/>
  <c r="D303" i="6"/>
  <c r="H136" i="6"/>
  <c r="F136" i="6"/>
  <c r="I136" i="6"/>
  <c r="G136" i="6"/>
  <c r="D198" i="5"/>
  <c r="D156" i="5"/>
  <c r="F72" i="5"/>
  <c r="I72" i="5"/>
  <c r="H72" i="5"/>
  <c r="B73" i="5"/>
  <c r="G72" i="5"/>
  <c r="E303" i="5"/>
  <c r="C304" i="5"/>
  <c r="D303" i="5"/>
  <c r="B199" i="5"/>
  <c r="I198" i="5"/>
  <c r="G198" i="5"/>
  <c r="F198" i="5"/>
  <c r="H198" i="5"/>
  <c r="E31" i="5"/>
  <c r="D31" i="5"/>
  <c r="B115" i="5"/>
  <c r="I114" i="5"/>
  <c r="G114" i="5"/>
  <c r="H114" i="5"/>
  <c r="F114" i="5"/>
  <c r="C220" i="5"/>
  <c r="D219" i="5"/>
  <c r="E219" i="5"/>
  <c r="B241" i="5"/>
  <c r="I240" i="5"/>
  <c r="G240" i="5"/>
  <c r="H240" i="5"/>
  <c r="F240" i="5"/>
  <c r="H177" i="5"/>
  <c r="F177" i="5"/>
  <c r="B178" i="5"/>
  <c r="I177" i="5"/>
  <c r="G177" i="5"/>
  <c r="E73" i="5"/>
  <c r="D73" i="5"/>
  <c r="D114" i="5"/>
  <c r="D240" i="5"/>
  <c r="D241" i="5"/>
  <c r="B157" i="5"/>
  <c r="I156" i="5"/>
  <c r="G156" i="5"/>
  <c r="H156" i="5"/>
  <c r="F156" i="5"/>
  <c r="I220" i="5"/>
  <c r="G220" i="5"/>
  <c r="F220" i="5"/>
  <c r="H220" i="5"/>
  <c r="D199" i="5"/>
  <c r="E199" i="5"/>
  <c r="I136" i="5"/>
  <c r="G136" i="5"/>
  <c r="F136" i="5"/>
  <c r="H136" i="5"/>
  <c r="H304" i="5"/>
  <c r="F304" i="5"/>
  <c r="G304" i="5"/>
  <c r="I304" i="5"/>
  <c r="C262" i="5"/>
  <c r="D261" i="5"/>
  <c r="E261" i="5"/>
  <c r="E177" i="5"/>
  <c r="E178" i="5"/>
  <c r="D178" i="5"/>
  <c r="C136" i="5"/>
  <c r="D135" i="5"/>
  <c r="E135" i="5"/>
  <c r="I93" i="5"/>
  <c r="G93" i="5"/>
  <c r="H93" i="5"/>
  <c r="F93" i="5"/>
  <c r="H52" i="5"/>
  <c r="F52" i="5"/>
  <c r="I52" i="5"/>
  <c r="G52" i="5"/>
  <c r="I262" i="5"/>
  <c r="G262" i="5"/>
  <c r="H262" i="5"/>
  <c r="F262" i="5"/>
  <c r="B283" i="5"/>
  <c r="I282" i="5"/>
  <c r="G282" i="5"/>
  <c r="H282" i="5"/>
  <c r="F282" i="5"/>
  <c r="E115" i="5"/>
  <c r="E114" i="5"/>
  <c r="D157" i="5"/>
  <c r="D302" i="3"/>
  <c r="E302" i="3"/>
  <c r="E281" i="3"/>
  <c r="D281" i="3"/>
  <c r="E260" i="3"/>
  <c r="D260" i="3"/>
  <c r="E239" i="3"/>
  <c r="D239" i="3"/>
  <c r="E219" i="3"/>
  <c r="D219" i="3"/>
  <c r="D197" i="3"/>
  <c r="E197" i="3"/>
  <c r="D177" i="3"/>
  <c r="E177" i="3"/>
  <c r="D155" i="3"/>
  <c r="D134" i="3"/>
  <c r="E134" i="3"/>
  <c r="D113" i="3"/>
  <c r="E113" i="3"/>
  <c r="C94" i="3"/>
  <c r="D92" i="3"/>
  <c r="E92" i="3"/>
  <c r="D70" i="3"/>
  <c r="E70" i="3"/>
  <c r="E49" i="3"/>
  <c r="D49" i="3"/>
  <c r="E27" i="3"/>
  <c r="D27" i="3"/>
  <c r="B304" i="3"/>
  <c r="I303" i="3"/>
  <c r="G303" i="3"/>
  <c r="H303" i="3"/>
  <c r="F303" i="3"/>
  <c r="C303" i="3"/>
  <c r="B283" i="3"/>
  <c r="I282" i="3"/>
  <c r="G282" i="3"/>
  <c r="H282" i="3"/>
  <c r="F282" i="3"/>
  <c r="C282" i="3"/>
  <c r="B262" i="3"/>
  <c r="I261" i="3"/>
  <c r="G261" i="3"/>
  <c r="H261" i="3"/>
  <c r="F261" i="3"/>
  <c r="C261" i="3"/>
  <c r="B241" i="3"/>
  <c r="I240" i="3"/>
  <c r="G240" i="3"/>
  <c r="H240" i="3"/>
  <c r="F240" i="3"/>
  <c r="C240" i="3"/>
  <c r="C220" i="3"/>
  <c r="B220" i="3"/>
  <c r="I219" i="3"/>
  <c r="G219" i="3"/>
  <c r="H219" i="3"/>
  <c r="F219" i="3"/>
  <c r="C198" i="3"/>
  <c r="B199" i="3"/>
  <c r="I198" i="3"/>
  <c r="G198" i="3"/>
  <c r="H198" i="3"/>
  <c r="F198" i="3"/>
  <c r="C178" i="3"/>
  <c r="B178" i="3"/>
  <c r="I177" i="3"/>
  <c r="G177" i="3"/>
  <c r="F177" i="3"/>
  <c r="H177" i="3"/>
  <c r="C157" i="3"/>
  <c r="B156" i="3"/>
  <c r="D156" i="3" s="1"/>
  <c r="I155" i="3"/>
  <c r="G155" i="3"/>
  <c r="H155" i="3"/>
  <c r="F155" i="3"/>
  <c r="C135" i="3"/>
  <c r="B136" i="3"/>
  <c r="I135" i="3"/>
  <c r="G135" i="3"/>
  <c r="F135" i="3"/>
  <c r="H135" i="3"/>
  <c r="B115" i="3"/>
  <c r="I114" i="3"/>
  <c r="G114" i="3"/>
  <c r="H114" i="3"/>
  <c r="F114" i="3"/>
  <c r="C114" i="3"/>
  <c r="C93" i="3"/>
  <c r="I93" i="3"/>
  <c r="G93" i="3"/>
  <c r="H93" i="3"/>
  <c r="F93" i="3"/>
  <c r="H50" i="3"/>
  <c r="F50" i="3"/>
  <c r="G50" i="3"/>
  <c r="I50" i="3"/>
  <c r="C30" i="3"/>
  <c r="C71" i="3"/>
  <c r="H71" i="3"/>
  <c r="F71" i="3"/>
  <c r="I71" i="3"/>
  <c r="B72" i="3"/>
  <c r="G71" i="3"/>
  <c r="C50" i="3"/>
  <c r="B51" i="3"/>
  <c r="H27" i="3"/>
  <c r="G27" i="3"/>
  <c r="F27" i="3"/>
  <c r="I27" i="3"/>
  <c r="B28" i="3"/>
  <c r="D304" i="6" l="1"/>
  <c r="E304" i="6"/>
  <c r="I283" i="6"/>
  <c r="G283" i="6"/>
  <c r="H283" i="6"/>
  <c r="F283" i="6"/>
  <c r="I220" i="6"/>
  <c r="G220" i="6"/>
  <c r="H220" i="6"/>
  <c r="F220" i="6"/>
  <c r="D241" i="6"/>
  <c r="E241" i="6"/>
  <c r="D220" i="6"/>
  <c r="D283" i="6"/>
  <c r="D136" i="6"/>
  <c r="E136" i="6"/>
  <c r="I157" i="6"/>
  <c r="G157" i="6"/>
  <c r="H157" i="6"/>
  <c r="F157" i="6"/>
  <c r="D262" i="6"/>
  <c r="E262" i="6"/>
  <c r="E31" i="6"/>
  <c r="D31" i="6"/>
  <c r="E220" i="6"/>
  <c r="E157" i="6"/>
  <c r="I115" i="6"/>
  <c r="G115" i="6"/>
  <c r="H115" i="6"/>
  <c r="F115" i="6"/>
  <c r="E283" i="6"/>
  <c r="D178" i="6"/>
  <c r="E178" i="6"/>
  <c r="H199" i="6"/>
  <c r="F199" i="6"/>
  <c r="I199" i="6"/>
  <c r="G199" i="6"/>
  <c r="I73" i="5"/>
  <c r="F73" i="5"/>
  <c r="G73" i="5"/>
  <c r="H73" i="5"/>
  <c r="H283" i="5"/>
  <c r="F283" i="5"/>
  <c r="I283" i="5"/>
  <c r="G283" i="5"/>
  <c r="E283" i="5"/>
  <c r="H157" i="5"/>
  <c r="F157" i="5"/>
  <c r="I157" i="5"/>
  <c r="G157" i="5"/>
  <c r="H241" i="5"/>
  <c r="F241" i="5"/>
  <c r="G241" i="5"/>
  <c r="I241" i="5"/>
  <c r="H115" i="5"/>
  <c r="F115" i="5"/>
  <c r="I115" i="5"/>
  <c r="G115" i="5"/>
  <c r="E157" i="5"/>
  <c r="D115" i="5"/>
  <c r="E136" i="5"/>
  <c r="D136" i="5"/>
  <c r="E262" i="5"/>
  <c r="D262" i="5"/>
  <c r="D283" i="5"/>
  <c r="E241" i="5"/>
  <c r="I178" i="5"/>
  <c r="G178" i="5"/>
  <c r="H178" i="5"/>
  <c r="F178" i="5"/>
  <c r="E220" i="5"/>
  <c r="D220" i="5"/>
  <c r="H199" i="5"/>
  <c r="F199" i="5"/>
  <c r="G199" i="5"/>
  <c r="I199" i="5"/>
  <c r="D304" i="5"/>
  <c r="E304" i="5"/>
  <c r="D303" i="3"/>
  <c r="E303" i="3"/>
  <c r="E282" i="3"/>
  <c r="D282" i="3"/>
  <c r="E261" i="3"/>
  <c r="D261" i="3"/>
  <c r="E240" i="3"/>
  <c r="D240" i="3"/>
  <c r="E220" i="3"/>
  <c r="D220" i="3"/>
  <c r="D198" i="3"/>
  <c r="E198" i="3"/>
  <c r="D178" i="3"/>
  <c r="E178" i="3"/>
  <c r="E156" i="3"/>
  <c r="D135" i="3"/>
  <c r="E135" i="3"/>
  <c r="D114" i="3"/>
  <c r="E114" i="3"/>
  <c r="D93" i="3"/>
  <c r="E93" i="3"/>
  <c r="D94" i="3"/>
  <c r="E94" i="3"/>
  <c r="D71" i="3"/>
  <c r="E71" i="3"/>
  <c r="E50" i="3"/>
  <c r="D50" i="3"/>
  <c r="D28" i="3"/>
  <c r="E28" i="3"/>
  <c r="C304" i="3"/>
  <c r="H304" i="3"/>
  <c r="F304" i="3"/>
  <c r="I304" i="3"/>
  <c r="G304" i="3"/>
  <c r="C283" i="3"/>
  <c r="H283" i="3"/>
  <c r="F283" i="3"/>
  <c r="I283" i="3"/>
  <c r="G283" i="3"/>
  <c r="C262" i="3"/>
  <c r="H262" i="3"/>
  <c r="F262" i="3"/>
  <c r="I262" i="3"/>
  <c r="G262" i="3"/>
  <c r="C241" i="3"/>
  <c r="H241" i="3"/>
  <c r="F241" i="3"/>
  <c r="I241" i="3"/>
  <c r="G241" i="3"/>
  <c r="H220" i="3"/>
  <c r="F220" i="3"/>
  <c r="I220" i="3"/>
  <c r="G220" i="3"/>
  <c r="H199" i="3"/>
  <c r="F199" i="3"/>
  <c r="I199" i="3"/>
  <c r="G199" i="3"/>
  <c r="C199" i="3"/>
  <c r="H178" i="3"/>
  <c r="F178" i="3"/>
  <c r="G178" i="3"/>
  <c r="I178" i="3"/>
  <c r="H156" i="3"/>
  <c r="F156" i="3"/>
  <c r="I156" i="3"/>
  <c r="B157" i="3"/>
  <c r="D157" i="3" s="1"/>
  <c r="G156" i="3"/>
  <c r="H136" i="3"/>
  <c r="F136" i="3"/>
  <c r="G136" i="3"/>
  <c r="I136" i="3"/>
  <c r="C136" i="3"/>
  <c r="C115" i="3"/>
  <c r="H115" i="3"/>
  <c r="F115" i="3"/>
  <c r="I115" i="3"/>
  <c r="G115" i="3"/>
  <c r="H51" i="3"/>
  <c r="F51" i="3"/>
  <c r="G51" i="3"/>
  <c r="I51" i="3"/>
  <c r="C31" i="3"/>
  <c r="B73" i="3"/>
  <c r="I72" i="3"/>
  <c r="G72" i="3"/>
  <c r="H72" i="3"/>
  <c r="F72" i="3"/>
  <c r="C72" i="3"/>
  <c r="C51" i="3"/>
  <c r="B52" i="3"/>
  <c r="H28" i="3"/>
  <c r="G28" i="3"/>
  <c r="F28" i="3"/>
  <c r="I28" i="3"/>
  <c r="B29" i="3"/>
  <c r="D304" i="3" l="1"/>
  <c r="E304" i="3"/>
  <c r="E283" i="3"/>
  <c r="D283" i="3"/>
  <c r="E262" i="3"/>
  <c r="D262" i="3"/>
  <c r="E241" i="3"/>
  <c r="D241" i="3"/>
  <c r="D199" i="3"/>
  <c r="E199" i="3"/>
  <c r="E157" i="3"/>
  <c r="D136" i="3"/>
  <c r="E136" i="3"/>
  <c r="D115" i="3"/>
  <c r="E115" i="3"/>
  <c r="D72" i="3"/>
  <c r="E72" i="3"/>
  <c r="E51" i="3"/>
  <c r="D51" i="3"/>
  <c r="E29" i="3"/>
  <c r="D29" i="3"/>
  <c r="I157" i="3"/>
  <c r="G157" i="3"/>
  <c r="H157" i="3"/>
  <c r="F157" i="3"/>
  <c r="H52" i="3"/>
  <c r="F52" i="3"/>
  <c r="G52" i="3"/>
  <c r="I52" i="3"/>
  <c r="C73" i="3"/>
  <c r="H73" i="3"/>
  <c r="F73" i="3"/>
  <c r="I73" i="3"/>
  <c r="G73" i="3"/>
  <c r="C52" i="3"/>
  <c r="H29" i="3"/>
  <c r="G29" i="3"/>
  <c r="I29" i="3"/>
  <c r="F29" i="3"/>
  <c r="B30" i="3"/>
  <c r="D73" i="3" l="1"/>
  <c r="E73" i="3"/>
  <c r="E52" i="3"/>
  <c r="D52" i="3"/>
  <c r="D30" i="3"/>
  <c r="E30" i="3"/>
  <c r="H30" i="3"/>
  <c r="G30" i="3"/>
  <c r="F30" i="3"/>
  <c r="I30" i="3"/>
  <c r="B31" i="3"/>
  <c r="E31" i="3" l="1"/>
  <c r="D31" i="3"/>
  <c r="H31" i="3"/>
  <c r="G31" i="3"/>
  <c r="F31" i="3"/>
  <c r="I31" i="3"/>
  <c r="K5" i="1" l="1"/>
  <c r="K6" i="1"/>
  <c r="O6" i="1" s="1"/>
  <c r="K7" i="1"/>
  <c r="K8" i="1"/>
  <c r="O8" i="1" s="1"/>
  <c r="K9" i="1"/>
  <c r="K10" i="1"/>
  <c r="O10" i="1" s="1"/>
  <c r="K11" i="1"/>
  <c r="K12" i="1"/>
  <c r="O12" i="1" s="1"/>
  <c r="K13" i="1"/>
  <c r="K14" i="1"/>
  <c r="O14" i="1" s="1"/>
  <c r="K15" i="1"/>
  <c r="K16" i="1"/>
  <c r="K17" i="1"/>
  <c r="K4" i="1"/>
  <c r="H6" i="1"/>
  <c r="O54" i="5" s="1"/>
  <c r="H8" i="1"/>
  <c r="O96" i="5" s="1"/>
  <c r="H10" i="1"/>
  <c r="O138" i="5" s="1"/>
  <c r="P138" i="5" s="1"/>
  <c r="H12" i="1"/>
  <c r="O180" i="5" s="1"/>
  <c r="P180" i="5" s="1"/>
  <c r="H14" i="1"/>
  <c r="O222" i="5" s="1"/>
  <c r="P222" i="5" s="1"/>
  <c r="O4" i="1"/>
  <c r="J5" i="1"/>
  <c r="O5" i="1" s="1"/>
  <c r="J6" i="1"/>
  <c r="J7" i="1"/>
  <c r="O7" i="1" s="1"/>
  <c r="J8" i="1"/>
  <c r="J9" i="1"/>
  <c r="O9" i="1" s="1"/>
  <c r="J10" i="1"/>
  <c r="J11" i="1"/>
  <c r="O11" i="1" s="1"/>
  <c r="J12" i="1"/>
  <c r="J13" i="1"/>
  <c r="O13" i="1" s="1"/>
  <c r="J14" i="1"/>
  <c r="J15" i="1"/>
  <c r="O15" i="1" s="1"/>
  <c r="J16" i="1"/>
  <c r="J17" i="1"/>
  <c r="O17" i="1" s="1"/>
  <c r="J4" i="1"/>
  <c r="C5" i="1"/>
  <c r="C6" i="1"/>
  <c r="C7" i="1"/>
  <c r="C8" i="1"/>
  <c r="C9" i="1"/>
  <c r="H9" i="1" s="1"/>
  <c r="O117" i="5" s="1"/>
  <c r="P117" i="5" s="1"/>
  <c r="C10" i="1"/>
  <c r="C11" i="1"/>
  <c r="C12" i="1"/>
  <c r="C13" i="1"/>
  <c r="C14" i="1"/>
  <c r="C15" i="1"/>
  <c r="C16" i="1"/>
  <c r="C17" i="1"/>
  <c r="C4" i="1"/>
  <c r="P17" i="1" l="1"/>
  <c r="O285" i="6"/>
  <c r="O285" i="3"/>
  <c r="O243" i="6"/>
  <c r="O243" i="3"/>
  <c r="O159" i="6"/>
  <c r="O159" i="3"/>
  <c r="O117" i="6"/>
  <c r="O117" i="3"/>
  <c r="P9" i="1"/>
  <c r="O75" i="6"/>
  <c r="O75" i="3"/>
  <c r="O33" i="6"/>
  <c r="O33" i="3"/>
  <c r="P5" i="1"/>
  <c r="O222" i="6"/>
  <c r="O222" i="3"/>
  <c r="P10" i="1"/>
  <c r="O138" i="6"/>
  <c r="O138" i="3"/>
  <c r="P8" i="1"/>
  <c r="O96" i="6"/>
  <c r="O96" i="3"/>
  <c r="O54" i="6"/>
  <c r="O54" i="3"/>
  <c r="P4" i="1"/>
  <c r="O12" i="6"/>
  <c r="O12" i="3"/>
  <c r="H17" i="1"/>
  <c r="O285" i="5" s="1"/>
  <c r="P285" i="5" s="1"/>
  <c r="I14" i="1"/>
  <c r="I12" i="1"/>
  <c r="I10" i="1"/>
  <c r="I8" i="1"/>
  <c r="I6" i="1"/>
  <c r="H4" i="1"/>
  <c r="O12" i="5" s="1"/>
  <c r="H15" i="1"/>
  <c r="O243" i="5" s="1"/>
  <c r="P243" i="5" s="1"/>
  <c r="H13" i="1"/>
  <c r="O201" i="5" s="1"/>
  <c r="P201" i="5" s="1"/>
  <c r="H11" i="1"/>
  <c r="O159" i="5" s="1"/>
  <c r="P159" i="5" s="1"/>
  <c r="H7" i="1"/>
  <c r="O75" i="5" s="1"/>
  <c r="H5" i="1"/>
  <c r="O33" i="5" s="1"/>
  <c r="J302" i="5"/>
  <c r="J298" i="5"/>
  <c r="J294" i="5"/>
  <c r="J299" i="5"/>
  <c r="J293" i="5"/>
  <c r="J289" i="5"/>
  <c r="J285" i="5"/>
  <c r="J292" i="5"/>
  <c r="U284" i="5"/>
  <c r="J297" i="5"/>
  <c r="J304" i="5"/>
  <c r="J300" i="5"/>
  <c r="J296" i="5"/>
  <c r="J303" i="5"/>
  <c r="J295" i="5"/>
  <c r="J291" i="5"/>
  <c r="J287" i="5"/>
  <c r="J301" i="5"/>
  <c r="J288" i="5"/>
  <c r="J286" i="5"/>
  <c r="J290" i="5"/>
  <c r="R285" i="5"/>
  <c r="V284" i="5" s="1"/>
  <c r="J259" i="5"/>
  <c r="J255" i="5"/>
  <c r="J251" i="5"/>
  <c r="J247" i="5"/>
  <c r="J241" i="5"/>
  <c r="J261" i="5"/>
  <c r="J253" i="5"/>
  <c r="J245" i="5"/>
  <c r="J256" i="5"/>
  <c r="J248" i="5"/>
  <c r="J239" i="5"/>
  <c r="J235" i="5"/>
  <c r="J231" i="5"/>
  <c r="J227" i="5"/>
  <c r="J223" i="5"/>
  <c r="J224" i="5"/>
  <c r="J232" i="5"/>
  <c r="J240" i="5"/>
  <c r="J246" i="5"/>
  <c r="J262" i="5"/>
  <c r="J226" i="5"/>
  <c r="J234" i="5"/>
  <c r="J250" i="5"/>
  <c r="J257" i="5"/>
  <c r="J249" i="5"/>
  <c r="J260" i="5"/>
  <c r="J252" i="5"/>
  <c r="J244" i="5"/>
  <c r="J237" i="5"/>
  <c r="J233" i="5"/>
  <c r="J229" i="5"/>
  <c r="J225" i="5"/>
  <c r="U221" i="5"/>
  <c r="J222" i="5"/>
  <c r="J228" i="5"/>
  <c r="J236" i="5"/>
  <c r="J254" i="5"/>
  <c r="J230" i="5"/>
  <c r="J238" i="5"/>
  <c r="J258" i="5"/>
  <c r="R222" i="5"/>
  <c r="V221" i="5" s="1"/>
  <c r="J196" i="5"/>
  <c r="J184" i="5"/>
  <c r="J192" i="5"/>
  <c r="J199" i="5"/>
  <c r="J195" i="5"/>
  <c r="J191" i="5"/>
  <c r="J187" i="5"/>
  <c r="J183" i="5"/>
  <c r="U179" i="5"/>
  <c r="J182" i="5"/>
  <c r="J190" i="5"/>
  <c r="J198" i="5"/>
  <c r="J188" i="5"/>
  <c r="J197" i="5"/>
  <c r="J189" i="5"/>
  <c r="J181" i="5"/>
  <c r="J186" i="5"/>
  <c r="J193" i="5"/>
  <c r="J185" i="5"/>
  <c r="J180" i="5"/>
  <c r="J194" i="5"/>
  <c r="R180" i="5"/>
  <c r="V179" i="5" s="1"/>
  <c r="J113" i="5"/>
  <c r="J109" i="5"/>
  <c r="J105" i="5"/>
  <c r="J101" i="5"/>
  <c r="J97" i="5"/>
  <c r="J96" i="5"/>
  <c r="J102" i="5"/>
  <c r="J110" i="5"/>
  <c r="J104" i="5"/>
  <c r="J112" i="5"/>
  <c r="J111" i="5"/>
  <c r="J103" i="5"/>
  <c r="U95" i="5"/>
  <c r="J106" i="5"/>
  <c r="J100" i="5"/>
  <c r="J115" i="5"/>
  <c r="J107" i="5"/>
  <c r="J99" i="5"/>
  <c r="J98" i="5"/>
  <c r="J114" i="5"/>
  <c r="J108" i="5"/>
  <c r="R96" i="5"/>
  <c r="V95" i="5" s="1"/>
  <c r="J70" i="5"/>
  <c r="J66" i="5"/>
  <c r="J62" i="5"/>
  <c r="J58" i="5"/>
  <c r="J73" i="5"/>
  <c r="J65" i="5"/>
  <c r="J57" i="5"/>
  <c r="J71" i="5"/>
  <c r="J63" i="5"/>
  <c r="J55" i="5"/>
  <c r="J68" i="5"/>
  <c r="J60" i="5"/>
  <c r="J69" i="5"/>
  <c r="J54" i="5"/>
  <c r="J59" i="5"/>
  <c r="J72" i="5"/>
  <c r="J64" i="5"/>
  <c r="J56" i="5"/>
  <c r="J61" i="5"/>
  <c r="J67" i="5"/>
  <c r="U53" i="5"/>
  <c r="R54" i="5"/>
  <c r="V53" i="5" s="1"/>
  <c r="U242" i="5"/>
  <c r="J243" i="5"/>
  <c r="R243" i="5"/>
  <c r="V242" i="5" s="1"/>
  <c r="J217" i="5"/>
  <c r="J213" i="5"/>
  <c r="J209" i="5"/>
  <c r="J205" i="5"/>
  <c r="J201" i="5"/>
  <c r="J216" i="5"/>
  <c r="J214" i="5"/>
  <c r="J206" i="5"/>
  <c r="J202" i="5"/>
  <c r="J204" i="5"/>
  <c r="J215" i="5"/>
  <c r="J207" i="5"/>
  <c r="J220" i="5"/>
  <c r="J210" i="5"/>
  <c r="J212" i="5"/>
  <c r="J219" i="5"/>
  <c r="J211" i="5"/>
  <c r="J203" i="5"/>
  <c r="J218" i="5"/>
  <c r="J208" i="5"/>
  <c r="U200" i="5"/>
  <c r="R201" i="5"/>
  <c r="V200" i="5" s="1"/>
  <c r="J175" i="5"/>
  <c r="J171" i="5"/>
  <c r="J167" i="5"/>
  <c r="J163" i="5"/>
  <c r="R159" i="5"/>
  <c r="V158" i="5" s="1"/>
  <c r="J178" i="5"/>
  <c r="J174" i="5"/>
  <c r="J170" i="5"/>
  <c r="J166" i="5"/>
  <c r="J162" i="5"/>
  <c r="U158" i="5"/>
  <c r="J177" i="5"/>
  <c r="J169" i="5"/>
  <c r="J161" i="5"/>
  <c r="J176" i="5"/>
  <c r="J168" i="5"/>
  <c r="J160" i="5"/>
  <c r="J173" i="5"/>
  <c r="J165" i="5"/>
  <c r="J159" i="5"/>
  <c r="J172" i="5"/>
  <c r="J164" i="5"/>
  <c r="J90" i="5"/>
  <c r="J86" i="5"/>
  <c r="J82" i="5"/>
  <c r="J78" i="5"/>
  <c r="U74" i="5"/>
  <c r="J77" i="5"/>
  <c r="J85" i="5"/>
  <c r="J93" i="5"/>
  <c r="J83" i="5"/>
  <c r="J91" i="5"/>
  <c r="J94" i="5"/>
  <c r="J88" i="5"/>
  <c r="J80" i="5"/>
  <c r="J75" i="5"/>
  <c r="J89" i="5"/>
  <c r="J87" i="5"/>
  <c r="J92" i="5"/>
  <c r="J84" i="5"/>
  <c r="J76" i="5"/>
  <c r="J81" i="5"/>
  <c r="J79" i="5"/>
  <c r="R75" i="5"/>
  <c r="V74" i="5" s="1"/>
  <c r="J52" i="5"/>
  <c r="J48" i="5"/>
  <c r="J44" i="5"/>
  <c r="J40" i="5"/>
  <c r="J36" i="5"/>
  <c r="U32" i="5"/>
  <c r="J49" i="5"/>
  <c r="J45" i="5"/>
  <c r="J41" i="5"/>
  <c r="J37" i="5"/>
  <c r="J33" i="5"/>
  <c r="J46" i="5"/>
  <c r="J38" i="5"/>
  <c r="J51" i="5"/>
  <c r="J43" i="5"/>
  <c r="J35" i="5"/>
  <c r="J50" i="5"/>
  <c r="J42" i="5"/>
  <c r="J34" i="5"/>
  <c r="J47" i="5"/>
  <c r="J39" i="5"/>
  <c r="R33" i="5"/>
  <c r="V32" i="5" s="1"/>
  <c r="J28" i="5"/>
  <c r="J24" i="5"/>
  <c r="J20" i="5"/>
  <c r="J16" i="5"/>
  <c r="J12" i="5"/>
  <c r="J29" i="5"/>
  <c r="J25" i="5"/>
  <c r="J21" i="5"/>
  <c r="J17" i="5"/>
  <c r="J13" i="5"/>
  <c r="J30" i="5"/>
  <c r="J26" i="5"/>
  <c r="J22" i="5"/>
  <c r="J18" i="5"/>
  <c r="J14" i="5"/>
  <c r="J31" i="5"/>
  <c r="J27" i="5"/>
  <c r="J23" i="5"/>
  <c r="J19" i="5"/>
  <c r="J15" i="5"/>
  <c r="U11" i="5"/>
  <c r="R12" i="5"/>
  <c r="V11" i="5" s="1"/>
  <c r="O201" i="6"/>
  <c r="P201" i="6" s="1"/>
  <c r="O201" i="3"/>
  <c r="P201" i="3" s="1"/>
  <c r="P13" i="1"/>
  <c r="O180" i="6"/>
  <c r="P180" i="6" s="1"/>
  <c r="O180" i="3"/>
  <c r="P180" i="3" s="1"/>
  <c r="U137" i="5"/>
  <c r="J138" i="5"/>
  <c r="R138" i="5"/>
  <c r="V137" i="5" s="1"/>
  <c r="I9" i="1"/>
  <c r="J155" i="5"/>
  <c r="J156" i="5"/>
  <c r="J152" i="5"/>
  <c r="J148" i="5"/>
  <c r="J147" i="5"/>
  <c r="J143" i="5"/>
  <c r="J139" i="5"/>
  <c r="J133" i="5"/>
  <c r="J129" i="5"/>
  <c r="J125" i="5"/>
  <c r="J121" i="5"/>
  <c r="J117" i="5"/>
  <c r="J142" i="5"/>
  <c r="J132" i="5"/>
  <c r="J124" i="5"/>
  <c r="U116" i="5"/>
  <c r="J144" i="5"/>
  <c r="J134" i="5"/>
  <c r="J126" i="5"/>
  <c r="J118" i="5"/>
  <c r="J157" i="5"/>
  <c r="J153" i="5"/>
  <c r="J154" i="5"/>
  <c r="J150" i="5"/>
  <c r="J151" i="5"/>
  <c r="J145" i="5"/>
  <c r="J141" i="5"/>
  <c r="J135" i="5"/>
  <c r="J131" i="5"/>
  <c r="J127" i="5"/>
  <c r="J123" i="5"/>
  <c r="J119" i="5"/>
  <c r="J146" i="5"/>
  <c r="J136" i="5"/>
  <c r="J128" i="5"/>
  <c r="J120" i="5"/>
  <c r="J149" i="5"/>
  <c r="J140" i="5"/>
  <c r="J130" i="5"/>
  <c r="J122" i="5"/>
  <c r="R117" i="5"/>
  <c r="V116" i="5" s="1"/>
  <c r="H16" i="1"/>
  <c r="O264" i="5" s="1"/>
  <c r="P264" i="5" s="1"/>
  <c r="O16" i="1"/>
  <c r="P12" i="1"/>
  <c r="P6" i="1"/>
  <c r="Q6" i="1" s="1"/>
  <c r="P14" i="1"/>
  <c r="Q8" i="1"/>
  <c r="Q10" i="1"/>
  <c r="Q14" i="1"/>
  <c r="Q12" i="1"/>
  <c r="Q9" i="1"/>
  <c r="P7" i="1"/>
  <c r="P11" i="1"/>
  <c r="P15" i="1"/>
  <c r="I4" i="1" l="1"/>
  <c r="Q4" i="1" s="1"/>
  <c r="AA12" i="3"/>
  <c r="J19" i="3"/>
  <c r="J16" i="3"/>
  <c r="J12" i="3"/>
  <c r="AB12" i="3"/>
  <c r="R12" i="3"/>
  <c r="V11" i="3" s="1"/>
  <c r="J13" i="3"/>
  <c r="J17" i="3"/>
  <c r="J21" i="3"/>
  <c r="J25" i="3"/>
  <c r="J29" i="3"/>
  <c r="J14" i="3"/>
  <c r="J18" i="3"/>
  <c r="J22" i="3"/>
  <c r="J26" i="3"/>
  <c r="J30" i="3"/>
  <c r="U11" i="3"/>
  <c r="J15" i="3"/>
  <c r="J23" i="3"/>
  <c r="J27" i="3"/>
  <c r="J31" i="3"/>
  <c r="J20" i="3"/>
  <c r="J24" i="3"/>
  <c r="J28" i="3"/>
  <c r="I7" i="1"/>
  <c r="Q7" i="1" s="1"/>
  <c r="I13" i="1"/>
  <c r="Q13" i="1" s="1"/>
  <c r="I17" i="1"/>
  <c r="Q17" i="1" s="1"/>
  <c r="J73" i="6"/>
  <c r="J70" i="6"/>
  <c r="J66" i="6"/>
  <c r="J62" i="6"/>
  <c r="J71" i="6"/>
  <c r="J63" i="6"/>
  <c r="J58" i="6"/>
  <c r="R54" i="6"/>
  <c r="V53" i="6" s="1"/>
  <c r="J69" i="6"/>
  <c r="J61" i="6"/>
  <c r="J55" i="6"/>
  <c r="J72" i="6"/>
  <c r="J64" i="6"/>
  <c r="J67" i="6"/>
  <c r="J56" i="6"/>
  <c r="J65" i="6"/>
  <c r="U53" i="6"/>
  <c r="J68" i="6"/>
  <c r="J60" i="6"/>
  <c r="J59" i="6"/>
  <c r="J54" i="6"/>
  <c r="J57" i="6"/>
  <c r="J112" i="6"/>
  <c r="J108" i="6"/>
  <c r="J104" i="6"/>
  <c r="J100" i="6"/>
  <c r="R96" i="6"/>
  <c r="V95" i="6" s="1"/>
  <c r="J115" i="6"/>
  <c r="J111" i="6"/>
  <c r="J107" i="6"/>
  <c r="J103" i="6"/>
  <c r="J99" i="6"/>
  <c r="U95" i="6"/>
  <c r="J110" i="6"/>
  <c r="J102" i="6"/>
  <c r="J96" i="6"/>
  <c r="J109" i="6"/>
  <c r="J101" i="6"/>
  <c r="J114" i="6"/>
  <c r="J106" i="6"/>
  <c r="J98" i="6"/>
  <c r="J113" i="6"/>
  <c r="J105" i="6"/>
  <c r="J97" i="6"/>
  <c r="AB138" i="3"/>
  <c r="U137" i="3"/>
  <c r="J138" i="3"/>
  <c r="AA138" i="3"/>
  <c r="R138" i="3"/>
  <c r="V137" i="3" s="1"/>
  <c r="P222" i="6"/>
  <c r="J260" i="6"/>
  <c r="J256" i="6"/>
  <c r="J252" i="6"/>
  <c r="J248" i="6"/>
  <c r="J259" i="6"/>
  <c r="J255" i="6"/>
  <c r="J251" i="6"/>
  <c r="J247" i="6"/>
  <c r="J246" i="6"/>
  <c r="J239" i="6"/>
  <c r="J235" i="6"/>
  <c r="J231" i="6"/>
  <c r="J227" i="6"/>
  <c r="J223" i="6"/>
  <c r="J244" i="6"/>
  <c r="J238" i="6"/>
  <c r="J234" i="6"/>
  <c r="J230" i="6"/>
  <c r="J226" i="6"/>
  <c r="J222" i="6"/>
  <c r="R222" i="6"/>
  <c r="V221" i="6" s="1"/>
  <c r="J262" i="6"/>
  <c r="J258" i="6"/>
  <c r="J254" i="6"/>
  <c r="J250" i="6"/>
  <c r="J261" i="6"/>
  <c r="J257" i="6"/>
  <c r="J253" i="6"/>
  <c r="J249" i="6"/>
  <c r="J245" i="6"/>
  <c r="J241" i="6"/>
  <c r="J237" i="6"/>
  <c r="J233" i="6"/>
  <c r="J229" i="6"/>
  <c r="J225" i="6"/>
  <c r="U221" i="6"/>
  <c r="J240" i="6"/>
  <c r="J236" i="6"/>
  <c r="J232" i="6"/>
  <c r="J228" i="6"/>
  <c r="J224" i="6"/>
  <c r="AA33" i="3"/>
  <c r="AB33" i="3"/>
  <c r="U32" i="3"/>
  <c r="R33" i="3"/>
  <c r="V32" i="3" s="1"/>
  <c r="J36" i="3"/>
  <c r="J40" i="3"/>
  <c r="J44" i="3"/>
  <c r="J48" i="3"/>
  <c r="J52" i="3"/>
  <c r="J39" i="3"/>
  <c r="J47" i="3"/>
  <c r="J37" i="3"/>
  <c r="J45" i="3"/>
  <c r="J33" i="3"/>
  <c r="J38" i="3"/>
  <c r="J46" i="3"/>
  <c r="J50" i="3"/>
  <c r="J43" i="3"/>
  <c r="J51" i="3"/>
  <c r="J41" i="3"/>
  <c r="J34" i="3"/>
  <c r="J42" i="3"/>
  <c r="J35" i="3"/>
  <c r="J49" i="3"/>
  <c r="AB75" i="3"/>
  <c r="AA75" i="3"/>
  <c r="J94" i="3"/>
  <c r="J77" i="3"/>
  <c r="J81" i="3"/>
  <c r="J85" i="3"/>
  <c r="J89" i="3"/>
  <c r="J93" i="3"/>
  <c r="J76" i="3"/>
  <c r="J80" i="3"/>
  <c r="J84" i="3"/>
  <c r="J88" i="3"/>
  <c r="J92" i="3"/>
  <c r="U74" i="3"/>
  <c r="J79" i="3"/>
  <c r="J83" i="3"/>
  <c r="J87" i="3"/>
  <c r="J91" i="3"/>
  <c r="J75" i="3"/>
  <c r="J78" i="3"/>
  <c r="J82" i="3"/>
  <c r="J86" i="3"/>
  <c r="J90" i="3"/>
  <c r="R75" i="3"/>
  <c r="V74" i="3" s="1"/>
  <c r="J156" i="6"/>
  <c r="J152" i="6"/>
  <c r="J155" i="6"/>
  <c r="J150" i="6"/>
  <c r="J146" i="6"/>
  <c r="J142" i="6"/>
  <c r="J136" i="6"/>
  <c r="J132" i="6"/>
  <c r="J128" i="6"/>
  <c r="J124" i="6"/>
  <c r="J120" i="6"/>
  <c r="U116" i="6"/>
  <c r="J149" i="6"/>
  <c r="J145" i="6"/>
  <c r="J141" i="6"/>
  <c r="J135" i="6"/>
  <c r="J131" i="6"/>
  <c r="J127" i="6"/>
  <c r="J123" i="6"/>
  <c r="J119" i="6"/>
  <c r="J157" i="6"/>
  <c r="J148" i="6"/>
  <c r="J140" i="6"/>
  <c r="J130" i="6"/>
  <c r="J122" i="6"/>
  <c r="J151" i="6"/>
  <c r="J143" i="6"/>
  <c r="J133" i="6"/>
  <c r="J125" i="6"/>
  <c r="J117" i="6"/>
  <c r="J154" i="6"/>
  <c r="J153" i="6"/>
  <c r="J144" i="6"/>
  <c r="J134" i="6"/>
  <c r="J126" i="6"/>
  <c r="J118" i="6"/>
  <c r="J147" i="6"/>
  <c r="J139" i="6"/>
  <c r="J129" i="6"/>
  <c r="J121" i="6"/>
  <c r="R117" i="6"/>
  <c r="V116" i="6" s="1"/>
  <c r="P159" i="6"/>
  <c r="J178" i="6"/>
  <c r="J176" i="6"/>
  <c r="J172" i="6"/>
  <c r="J168" i="6"/>
  <c r="J164" i="6"/>
  <c r="J160" i="6"/>
  <c r="J177" i="6"/>
  <c r="J173" i="6"/>
  <c r="J169" i="6"/>
  <c r="J165" i="6"/>
  <c r="J161" i="6"/>
  <c r="J159" i="6"/>
  <c r="J174" i="6"/>
  <c r="J170" i="6"/>
  <c r="J166" i="6"/>
  <c r="J162" i="6"/>
  <c r="U158" i="6"/>
  <c r="J175" i="6"/>
  <c r="J171" i="6"/>
  <c r="J167" i="6"/>
  <c r="J163" i="6"/>
  <c r="R159" i="6"/>
  <c r="V158" i="6" s="1"/>
  <c r="P243" i="6"/>
  <c r="R243" i="6"/>
  <c r="V242" i="6" s="1"/>
  <c r="U242" i="6"/>
  <c r="J243" i="6"/>
  <c r="P285" i="6"/>
  <c r="J302" i="6"/>
  <c r="J298" i="6"/>
  <c r="J294" i="6"/>
  <c r="J301" i="6"/>
  <c r="J297" i="6"/>
  <c r="J292" i="6"/>
  <c r="J288" i="6"/>
  <c r="U284" i="6"/>
  <c r="J291" i="6"/>
  <c r="J287" i="6"/>
  <c r="J285" i="6"/>
  <c r="J304" i="6"/>
  <c r="J300" i="6"/>
  <c r="J296" i="6"/>
  <c r="J303" i="6"/>
  <c r="J299" i="6"/>
  <c r="J295" i="6"/>
  <c r="J290" i="6"/>
  <c r="J293" i="6"/>
  <c r="R285" i="6"/>
  <c r="V284" i="6" s="1"/>
  <c r="J286" i="6"/>
  <c r="J289" i="6"/>
  <c r="Q15" i="1"/>
  <c r="J28" i="6"/>
  <c r="J24" i="6"/>
  <c r="J20" i="6"/>
  <c r="J16" i="6"/>
  <c r="R12" i="6"/>
  <c r="V11" i="6" s="1"/>
  <c r="J31" i="6"/>
  <c r="J27" i="6"/>
  <c r="J21" i="6"/>
  <c r="J13" i="6"/>
  <c r="J23" i="6"/>
  <c r="J15" i="6"/>
  <c r="J30" i="6"/>
  <c r="J22" i="6"/>
  <c r="J14" i="6"/>
  <c r="J29" i="6"/>
  <c r="J17" i="6"/>
  <c r="J19" i="6"/>
  <c r="J26" i="6"/>
  <c r="J18" i="6"/>
  <c r="J12" i="6"/>
  <c r="J25" i="6"/>
  <c r="U11" i="6"/>
  <c r="I5" i="1"/>
  <c r="Q5" i="1" s="1"/>
  <c r="I11" i="1"/>
  <c r="Q11" i="1" s="1"/>
  <c r="I15" i="1"/>
  <c r="J56" i="3"/>
  <c r="AA54" i="3"/>
  <c r="J70" i="3"/>
  <c r="J62" i="3"/>
  <c r="J72" i="3"/>
  <c r="J64" i="3"/>
  <c r="R54" i="3"/>
  <c r="V53" i="3" s="1"/>
  <c r="J63" i="3"/>
  <c r="U53" i="3"/>
  <c r="AB54" i="3"/>
  <c r="J54" i="3"/>
  <c r="J66" i="3"/>
  <c r="J58" i="3"/>
  <c r="J68" i="3"/>
  <c r="J60" i="3"/>
  <c r="J73" i="3"/>
  <c r="J69" i="3"/>
  <c r="J65" i="3"/>
  <c r="J61" i="3"/>
  <c r="J57" i="3"/>
  <c r="J71" i="3"/>
  <c r="J67" i="3"/>
  <c r="J59" i="3"/>
  <c r="J55" i="3"/>
  <c r="AA96" i="3"/>
  <c r="J96" i="3"/>
  <c r="J112" i="3"/>
  <c r="J108" i="3"/>
  <c r="J104" i="3"/>
  <c r="J100" i="3"/>
  <c r="U95" i="3"/>
  <c r="J113" i="3"/>
  <c r="J109" i="3"/>
  <c r="J105" i="3"/>
  <c r="J101" i="3"/>
  <c r="J97" i="3"/>
  <c r="AB96" i="3"/>
  <c r="J114" i="3"/>
  <c r="J110" i="3"/>
  <c r="J106" i="3"/>
  <c r="J102" i="3"/>
  <c r="J98" i="3"/>
  <c r="J115" i="3"/>
  <c r="J111" i="3"/>
  <c r="J107" i="3"/>
  <c r="J103" i="3"/>
  <c r="J99" i="3"/>
  <c r="R96" i="3"/>
  <c r="V95" i="3" s="1"/>
  <c r="J138" i="6"/>
  <c r="R138" i="6"/>
  <c r="V137" i="6" s="1"/>
  <c r="U137" i="6"/>
  <c r="P222" i="3"/>
  <c r="J262" i="3"/>
  <c r="J258" i="3"/>
  <c r="J254" i="3"/>
  <c r="J250" i="3"/>
  <c r="J246" i="3"/>
  <c r="J224" i="3"/>
  <c r="J228" i="3"/>
  <c r="J232" i="3"/>
  <c r="J236" i="3"/>
  <c r="J240" i="3"/>
  <c r="J239" i="3"/>
  <c r="J227" i="3"/>
  <c r="J247" i="3"/>
  <c r="J255" i="3"/>
  <c r="J241" i="3"/>
  <c r="J233" i="3"/>
  <c r="J225" i="3"/>
  <c r="J249" i="3"/>
  <c r="J257" i="3"/>
  <c r="J260" i="3"/>
  <c r="J256" i="3"/>
  <c r="J252" i="3"/>
  <c r="J248" i="3"/>
  <c r="J244" i="3"/>
  <c r="J226" i="3"/>
  <c r="J230" i="3"/>
  <c r="J234" i="3"/>
  <c r="J238" i="3"/>
  <c r="J222" i="3"/>
  <c r="J231" i="3"/>
  <c r="J223" i="3"/>
  <c r="J251" i="3"/>
  <c r="J259" i="3"/>
  <c r="J237" i="3"/>
  <c r="J229" i="3"/>
  <c r="J245" i="3"/>
  <c r="J253" i="3"/>
  <c r="J261" i="3"/>
  <c r="J235" i="3"/>
  <c r="U221" i="3"/>
  <c r="R222" i="3"/>
  <c r="V221" i="3" s="1"/>
  <c r="J52" i="6"/>
  <c r="J48" i="6"/>
  <c r="J44" i="6"/>
  <c r="J40" i="6"/>
  <c r="J36" i="6"/>
  <c r="U32" i="6"/>
  <c r="J49" i="6"/>
  <c r="J45" i="6"/>
  <c r="J41" i="6"/>
  <c r="J37" i="6"/>
  <c r="R33" i="6"/>
  <c r="V32" i="6" s="1"/>
  <c r="J46" i="6"/>
  <c r="J38" i="6"/>
  <c r="J51" i="6"/>
  <c r="J43" i="6"/>
  <c r="J35" i="6"/>
  <c r="J50" i="6"/>
  <c r="J42" i="6"/>
  <c r="J34" i="6"/>
  <c r="J47" i="6"/>
  <c r="J39" i="6"/>
  <c r="J33" i="6"/>
  <c r="J94" i="6"/>
  <c r="J91" i="6"/>
  <c r="J87" i="6"/>
  <c r="J83" i="6"/>
  <c r="J79" i="6"/>
  <c r="J75" i="6"/>
  <c r="J90" i="6"/>
  <c r="J86" i="6"/>
  <c r="J82" i="6"/>
  <c r="J78" i="6"/>
  <c r="U74" i="6"/>
  <c r="J93" i="6"/>
  <c r="J85" i="6"/>
  <c r="J77" i="6"/>
  <c r="J88" i="6"/>
  <c r="J80" i="6"/>
  <c r="J89" i="6"/>
  <c r="J81" i="6"/>
  <c r="J92" i="6"/>
  <c r="J84" i="6"/>
  <c r="J76" i="6"/>
  <c r="R75" i="6"/>
  <c r="V74" i="6" s="1"/>
  <c r="J145" i="3"/>
  <c r="AA117" i="3"/>
  <c r="J135" i="3"/>
  <c r="J119" i="3"/>
  <c r="J155" i="3"/>
  <c r="J147" i="3"/>
  <c r="J139" i="3"/>
  <c r="J125" i="3"/>
  <c r="J133" i="3"/>
  <c r="J157" i="3"/>
  <c r="J131" i="3"/>
  <c r="J141" i="3"/>
  <c r="J136" i="3"/>
  <c r="J132" i="3"/>
  <c r="J128" i="3"/>
  <c r="J124" i="3"/>
  <c r="J120" i="3"/>
  <c r="J142" i="3"/>
  <c r="J146" i="3"/>
  <c r="J150" i="3"/>
  <c r="J154" i="3"/>
  <c r="AB117" i="3"/>
  <c r="J127" i="3"/>
  <c r="J156" i="3"/>
  <c r="J151" i="3"/>
  <c r="J143" i="3"/>
  <c r="J121" i="3"/>
  <c r="J129" i="3"/>
  <c r="J117" i="3"/>
  <c r="J153" i="3"/>
  <c r="J123" i="3"/>
  <c r="J149" i="3"/>
  <c r="J134" i="3"/>
  <c r="J130" i="3"/>
  <c r="J126" i="3"/>
  <c r="J122" i="3"/>
  <c r="J118" i="3"/>
  <c r="J140" i="3"/>
  <c r="J144" i="3"/>
  <c r="J148" i="3"/>
  <c r="J152" i="3"/>
  <c r="U116" i="3"/>
  <c r="R117" i="3"/>
  <c r="V116" i="3" s="1"/>
  <c r="P159" i="3"/>
  <c r="J175" i="3"/>
  <c r="J159" i="3"/>
  <c r="J177" i="3"/>
  <c r="J169" i="3"/>
  <c r="J163" i="3"/>
  <c r="J167" i="3"/>
  <c r="J176" i="3"/>
  <c r="J172" i="3"/>
  <c r="J168" i="3"/>
  <c r="J160" i="3"/>
  <c r="U158" i="3"/>
  <c r="J162" i="3"/>
  <c r="J166" i="3"/>
  <c r="J171" i="3"/>
  <c r="J173" i="3"/>
  <c r="J161" i="3"/>
  <c r="J165" i="3"/>
  <c r="J178" i="3"/>
  <c r="J174" i="3"/>
  <c r="J170" i="3"/>
  <c r="J164" i="3"/>
  <c r="R159" i="3"/>
  <c r="V158" i="3" s="1"/>
  <c r="J243" i="3"/>
  <c r="U242" i="3"/>
  <c r="P243" i="3"/>
  <c r="R243" i="3"/>
  <c r="V242" i="3" s="1"/>
  <c r="P285" i="3"/>
  <c r="J287" i="3"/>
  <c r="J291" i="3"/>
  <c r="J295" i="3"/>
  <c r="J299" i="3"/>
  <c r="J303" i="3"/>
  <c r="J302" i="3"/>
  <c r="J294" i="3"/>
  <c r="J286" i="3"/>
  <c r="J304" i="3"/>
  <c r="J296" i="3"/>
  <c r="J288" i="3"/>
  <c r="J289" i="3"/>
  <c r="J293" i="3"/>
  <c r="J297" i="3"/>
  <c r="J301" i="3"/>
  <c r="J285" i="3"/>
  <c r="J298" i="3"/>
  <c r="J290" i="3"/>
  <c r="J300" i="3"/>
  <c r="J292" i="3"/>
  <c r="U284" i="3"/>
  <c r="R285" i="3"/>
  <c r="V284" i="3" s="1"/>
  <c r="AA201" i="3"/>
  <c r="AB201" i="3"/>
  <c r="AB180" i="3"/>
  <c r="AA180" i="3"/>
  <c r="K47" i="5"/>
  <c r="M47" i="5" s="1"/>
  <c r="U47" i="5" s="1"/>
  <c r="L47" i="5"/>
  <c r="N47" i="5" s="1"/>
  <c r="V47" i="5" s="1"/>
  <c r="L42" i="5"/>
  <c r="N42" i="5" s="1"/>
  <c r="V42" i="5" s="1"/>
  <c r="K42" i="5"/>
  <c r="M42" i="5" s="1"/>
  <c r="U42" i="5" s="1"/>
  <c r="L35" i="5"/>
  <c r="N35" i="5" s="1"/>
  <c r="V35" i="5" s="1"/>
  <c r="K35" i="5"/>
  <c r="M35" i="5" s="1"/>
  <c r="U35" i="5" s="1"/>
  <c r="L51" i="5"/>
  <c r="N51" i="5" s="1"/>
  <c r="V51" i="5" s="1"/>
  <c r="K51" i="5"/>
  <c r="M51" i="5" s="1"/>
  <c r="U51" i="5" s="1"/>
  <c r="L46" i="5"/>
  <c r="N46" i="5" s="1"/>
  <c r="V46" i="5" s="1"/>
  <c r="K46" i="5"/>
  <c r="M46" i="5" s="1"/>
  <c r="U46" i="5" s="1"/>
  <c r="K37" i="5"/>
  <c r="M37" i="5" s="1"/>
  <c r="U37" i="5" s="1"/>
  <c r="L37" i="5"/>
  <c r="N37" i="5" s="1"/>
  <c r="V37" i="5" s="1"/>
  <c r="K45" i="5"/>
  <c r="M45" i="5" s="1"/>
  <c r="U45" i="5" s="1"/>
  <c r="L45" i="5"/>
  <c r="N45" i="5" s="1"/>
  <c r="V45" i="5" s="1"/>
  <c r="K40" i="5"/>
  <c r="M40" i="5" s="1"/>
  <c r="U40" i="5" s="1"/>
  <c r="L40" i="5"/>
  <c r="N40" i="5" s="1"/>
  <c r="V40" i="5" s="1"/>
  <c r="L48" i="5"/>
  <c r="N48" i="5" s="1"/>
  <c r="V48" i="5" s="1"/>
  <c r="K48" i="5"/>
  <c r="M48" i="5" s="1"/>
  <c r="U48" i="5" s="1"/>
  <c r="K81" i="5"/>
  <c r="M81" i="5" s="1"/>
  <c r="U81" i="5" s="1"/>
  <c r="L81" i="5"/>
  <c r="N81" i="5" s="1"/>
  <c r="V81" i="5" s="1"/>
  <c r="K84" i="5"/>
  <c r="M84" i="5" s="1"/>
  <c r="U84" i="5" s="1"/>
  <c r="L84" i="5"/>
  <c r="N84" i="5" s="1"/>
  <c r="V84" i="5" s="1"/>
  <c r="K87" i="5"/>
  <c r="M87" i="5" s="1"/>
  <c r="U87" i="5" s="1"/>
  <c r="L87" i="5"/>
  <c r="N87" i="5" s="1"/>
  <c r="V87" i="5" s="1"/>
  <c r="L75" i="5"/>
  <c r="N75" i="5" s="1"/>
  <c r="V75" i="5" s="1"/>
  <c r="K75" i="5"/>
  <c r="M75" i="5" s="1"/>
  <c r="U75" i="5" s="1"/>
  <c r="K88" i="5"/>
  <c r="M88" i="5" s="1"/>
  <c r="U88" i="5" s="1"/>
  <c r="L88" i="5"/>
  <c r="N88" i="5" s="1"/>
  <c r="V88" i="5" s="1"/>
  <c r="L91" i="5"/>
  <c r="N91" i="5" s="1"/>
  <c r="V91" i="5" s="1"/>
  <c r="K91" i="5"/>
  <c r="M91" i="5" s="1"/>
  <c r="U91" i="5" s="1"/>
  <c r="K93" i="5"/>
  <c r="M93" i="5" s="1"/>
  <c r="U93" i="5" s="1"/>
  <c r="L93" i="5"/>
  <c r="N93" i="5" s="1"/>
  <c r="V93" i="5" s="1"/>
  <c r="L77" i="5"/>
  <c r="N77" i="5" s="1"/>
  <c r="V77" i="5" s="1"/>
  <c r="K77" i="5"/>
  <c r="M77" i="5" s="1"/>
  <c r="U77" i="5" s="1"/>
  <c r="K78" i="5"/>
  <c r="M78" i="5" s="1"/>
  <c r="U78" i="5" s="1"/>
  <c r="L78" i="5"/>
  <c r="N78" i="5" s="1"/>
  <c r="V78" i="5" s="1"/>
  <c r="K86" i="5"/>
  <c r="M86" i="5" s="1"/>
  <c r="U86" i="5" s="1"/>
  <c r="L86" i="5"/>
  <c r="N86" i="5" s="1"/>
  <c r="V86" i="5" s="1"/>
  <c r="K164" i="5"/>
  <c r="M164" i="5" s="1"/>
  <c r="U164" i="5" s="1"/>
  <c r="L164" i="5"/>
  <c r="N164" i="5" s="1"/>
  <c r="V164" i="5" s="1"/>
  <c r="L159" i="5"/>
  <c r="N159" i="5" s="1"/>
  <c r="V159" i="5" s="1"/>
  <c r="K159" i="5"/>
  <c r="M159" i="5" s="1"/>
  <c r="U159" i="5" s="1"/>
  <c r="L173" i="5"/>
  <c r="N173" i="5" s="1"/>
  <c r="V173" i="5" s="1"/>
  <c r="K173" i="5"/>
  <c r="M173" i="5" s="1"/>
  <c r="U173" i="5" s="1"/>
  <c r="K168" i="5"/>
  <c r="M168" i="5" s="1"/>
  <c r="U168" i="5" s="1"/>
  <c r="L168" i="5"/>
  <c r="N168" i="5" s="1"/>
  <c r="V168" i="5" s="1"/>
  <c r="L161" i="5"/>
  <c r="N161" i="5" s="1"/>
  <c r="V161" i="5" s="1"/>
  <c r="K161" i="5"/>
  <c r="M161" i="5" s="1"/>
  <c r="U161" i="5" s="1"/>
  <c r="L177" i="5"/>
  <c r="N177" i="5" s="1"/>
  <c r="V177" i="5" s="1"/>
  <c r="K177" i="5"/>
  <c r="M177" i="5" s="1"/>
  <c r="U177" i="5" s="1"/>
  <c r="K162" i="5"/>
  <c r="M162" i="5" s="1"/>
  <c r="U162" i="5" s="1"/>
  <c r="L162" i="5"/>
  <c r="N162" i="5" s="1"/>
  <c r="V162" i="5" s="1"/>
  <c r="K170" i="5"/>
  <c r="M170" i="5" s="1"/>
  <c r="U170" i="5" s="1"/>
  <c r="L170" i="5"/>
  <c r="N170" i="5" s="1"/>
  <c r="V170" i="5" s="1"/>
  <c r="L178" i="5"/>
  <c r="N178" i="5" s="1"/>
  <c r="V178" i="5" s="1"/>
  <c r="K178" i="5"/>
  <c r="M178" i="5" s="1"/>
  <c r="U178" i="5" s="1"/>
  <c r="K163" i="5"/>
  <c r="M163" i="5" s="1"/>
  <c r="U163" i="5" s="1"/>
  <c r="L163" i="5"/>
  <c r="N163" i="5" s="1"/>
  <c r="V163" i="5" s="1"/>
  <c r="K171" i="5"/>
  <c r="M171" i="5" s="1"/>
  <c r="U171" i="5" s="1"/>
  <c r="L171" i="5"/>
  <c r="N171" i="5" s="1"/>
  <c r="V171" i="5" s="1"/>
  <c r="L208" i="5"/>
  <c r="N208" i="5" s="1"/>
  <c r="V208" i="5" s="1"/>
  <c r="K208" i="5"/>
  <c r="M208" i="5" s="1"/>
  <c r="U208" i="5" s="1"/>
  <c r="K203" i="5"/>
  <c r="M203" i="5" s="1"/>
  <c r="U203" i="5" s="1"/>
  <c r="L203" i="5"/>
  <c r="N203" i="5" s="1"/>
  <c r="V203" i="5" s="1"/>
  <c r="K219" i="5"/>
  <c r="M219" i="5" s="1"/>
  <c r="U219" i="5" s="1"/>
  <c r="L219" i="5"/>
  <c r="N219" i="5" s="1"/>
  <c r="V219" i="5" s="1"/>
  <c r="K210" i="5"/>
  <c r="M210" i="5" s="1"/>
  <c r="U210" i="5" s="1"/>
  <c r="L210" i="5"/>
  <c r="N210" i="5" s="1"/>
  <c r="V210" i="5" s="1"/>
  <c r="L207" i="5"/>
  <c r="N207" i="5" s="1"/>
  <c r="V207" i="5" s="1"/>
  <c r="K207" i="5"/>
  <c r="M207" i="5" s="1"/>
  <c r="U207" i="5" s="1"/>
  <c r="K204" i="5"/>
  <c r="M204" i="5" s="1"/>
  <c r="U204" i="5" s="1"/>
  <c r="L204" i="5"/>
  <c r="N204" i="5" s="1"/>
  <c r="V204" i="5" s="1"/>
  <c r="K206" i="5"/>
  <c r="M206" i="5" s="1"/>
  <c r="U206" i="5" s="1"/>
  <c r="L206" i="5"/>
  <c r="N206" i="5" s="1"/>
  <c r="V206" i="5" s="1"/>
  <c r="K216" i="5"/>
  <c r="M216" i="5" s="1"/>
  <c r="U216" i="5" s="1"/>
  <c r="L216" i="5"/>
  <c r="N216" i="5" s="1"/>
  <c r="V216" i="5" s="1"/>
  <c r="L205" i="5"/>
  <c r="N205" i="5" s="1"/>
  <c r="V205" i="5" s="1"/>
  <c r="K205" i="5"/>
  <c r="M205" i="5" s="1"/>
  <c r="U205" i="5" s="1"/>
  <c r="L213" i="5"/>
  <c r="N213" i="5" s="1"/>
  <c r="V213" i="5" s="1"/>
  <c r="K213" i="5"/>
  <c r="M213" i="5" s="1"/>
  <c r="U213" i="5" s="1"/>
  <c r="L61" i="5"/>
  <c r="N61" i="5" s="1"/>
  <c r="V61" i="5" s="1"/>
  <c r="K61" i="5"/>
  <c r="M61" i="5" s="1"/>
  <c r="U61" i="5" s="1"/>
  <c r="K64" i="5"/>
  <c r="M64" i="5" s="1"/>
  <c r="U64" i="5" s="1"/>
  <c r="L64" i="5"/>
  <c r="N64" i="5" s="1"/>
  <c r="V64" i="5" s="1"/>
  <c r="K59" i="5"/>
  <c r="M59" i="5" s="1"/>
  <c r="U59" i="5" s="1"/>
  <c r="L59" i="5"/>
  <c r="N59" i="5" s="1"/>
  <c r="V59" i="5" s="1"/>
  <c r="L69" i="5"/>
  <c r="N69" i="5" s="1"/>
  <c r="V69" i="5" s="1"/>
  <c r="K69" i="5"/>
  <c r="M69" i="5" s="1"/>
  <c r="U69" i="5" s="1"/>
  <c r="L68" i="5"/>
  <c r="N68" i="5" s="1"/>
  <c r="V68" i="5" s="1"/>
  <c r="K68" i="5"/>
  <c r="M68" i="5" s="1"/>
  <c r="U68" i="5" s="1"/>
  <c r="K63" i="5"/>
  <c r="M63" i="5" s="1"/>
  <c r="U63" i="5" s="1"/>
  <c r="L63" i="5"/>
  <c r="N63" i="5" s="1"/>
  <c r="V63" i="5" s="1"/>
  <c r="K57" i="5"/>
  <c r="M57" i="5" s="1"/>
  <c r="U57" i="5" s="1"/>
  <c r="L57" i="5"/>
  <c r="N57" i="5" s="1"/>
  <c r="V57" i="5" s="1"/>
  <c r="K73" i="5"/>
  <c r="M73" i="5" s="1"/>
  <c r="U73" i="5" s="1"/>
  <c r="L73" i="5"/>
  <c r="N73" i="5" s="1"/>
  <c r="V73" i="5" s="1"/>
  <c r="K62" i="5"/>
  <c r="M62" i="5" s="1"/>
  <c r="U62" i="5" s="1"/>
  <c r="L62" i="5"/>
  <c r="N62" i="5" s="1"/>
  <c r="V62" i="5" s="1"/>
  <c r="L70" i="5"/>
  <c r="N70" i="5" s="1"/>
  <c r="V70" i="5" s="1"/>
  <c r="K70" i="5"/>
  <c r="M70" i="5" s="1"/>
  <c r="U70" i="5" s="1"/>
  <c r="L108" i="5"/>
  <c r="N108" i="5" s="1"/>
  <c r="V108" i="5" s="1"/>
  <c r="K108" i="5"/>
  <c r="M108" i="5" s="1"/>
  <c r="U108" i="5" s="1"/>
  <c r="K98" i="5"/>
  <c r="M98" i="5" s="1"/>
  <c r="U98" i="5" s="1"/>
  <c r="L98" i="5"/>
  <c r="N98" i="5" s="1"/>
  <c r="V98" i="5" s="1"/>
  <c r="K107" i="5"/>
  <c r="M107" i="5" s="1"/>
  <c r="U107" i="5" s="1"/>
  <c r="L107" i="5"/>
  <c r="N107" i="5" s="1"/>
  <c r="V107" i="5" s="1"/>
  <c r="K100" i="5"/>
  <c r="M100" i="5" s="1"/>
  <c r="U100" i="5" s="1"/>
  <c r="L100" i="5"/>
  <c r="N100" i="5" s="1"/>
  <c r="V100" i="5" s="1"/>
  <c r="L111" i="5"/>
  <c r="N111" i="5" s="1"/>
  <c r="V111" i="5" s="1"/>
  <c r="K111" i="5"/>
  <c r="M111" i="5" s="1"/>
  <c r="U111" i="5" s="1"/>
  <c r="K104" i="5"/>
  <c r="M104" i="5" s="1"/>
  <c r="U104" i="5" s="1"/>
  <c r="L104" i="5"/>
  <c r="N104" i="5" s="1"/>
  <c r="V104" i="5" s="1"/>
  <c r="K102" i="5"/>
  <c r="M102" i="5" s="1"/>
  <c r="U102" i="5" s="1"/>
  <c r="L102" i="5"/>
  <c r="N102" i="5" s="1"/>
  <c r="V102" i="5" s="1"/>
  <c r="L97" i="5"/>
  <c r="N97" i="5" s="1"/>
  <c r="V97" i="5" s="1"/>
  <c r="K97" i="5"/>
  <c r="M97" i="5" s="1"/>
  <c r="U97" i="5" s="1"/>
  <c r="K105" i="5"/>
  <c r="M105" i="5" s="1"/>
  <c r="U105" i="5" s="1"/>
  <c r="L105" i="5"/>
  <c r="N105" i="5" s="1"/>
  <c r="V105" i="5" s="1"/>
  <c r="L113" i="5"/>
  <c r="N113" i="5" s="1"/>
  <c r="V113" i="5" s="1"/>
  <c r="K113" i="5"/>
  <c r="M113" i="5" s="1"/>
  <c r="U113" i="5" s="1"/>
  <c r="K194" i="5"/>
  <c r="M194" i="5" s="1"/>
  <c r="U194" i="5" s="1"/>
  <c r="L194" i="5"/>
  <c r="N194" i="5" s="1"/>
  <c r="V194" i="5" s="1"/>
  <c r="K185" i="5"/>
  <c r="M185" i="5" s="1"/>
  <c r="U185" i="5" s="1"/>
  <c r="L185" i="5"/>
  <c r="N185" i="5" s="1"/>
  <c r="V185" i="5" s="1"/>
  <c r="L186" i="5"/>
  <c r="N186" i="5" s="1"/>
  <c r="V186" i="5" s="1"/>
  <c r="K186" i="5"/>
  <c r="M186" i="5" s="1"/>
  <c r="U186" i="5" s="1"/>
  <c r="L189" i="5"/>
  <c r="N189" i="5" s="1"/>
  <c r="V189" i="5" s="1"/>
  <c r="K189" i="5"/>
  <c r="M189" i="5" s="1"/>
  <c r="U189" i="5" s="1"/>
  <c r="K188" i="5"/>
  <c r="M188" i="5" s="1"/>
  <c r="U188" i="5" s="1"/>
  <c r="L188" i="5"/>
  <c r="N188" i="5" s="1"/>
  <c r="V188" i="5" s="1"/>
  <c r="K190" i="5"/>
  <c r="M190" i="5" s="1"/>
  <c r="U190" i="5" s="1"/>
  <c r="L190" i="5"/>
  <c r="N190" i="5" s="1"/>
  <c r="V190" i="5" s="1"/>
  <c r="L187" i="5"/>
  <c r="N187" i="5" s="1"/>
  <c r="V187" i="5" s="1"/>
  <c r="K187" i="5"/>
  <c r="M187" i="5" s="1"/>
  <c r="U187" i="5" s="1"/>
  <c r="K195" i="5"/>
  <c r="M195" i="5" s="1"/>
  <c r="U195" i="5" s="1"/>
  <c r="L195" i="5"/>
  <c r="N195" i="5" s="1"/>
  <c r="V195" i="5" s="1"/>
  <c r="K192" i="5"/>
  <c r="M192" i="5" s="1"/>
  <c r="U192" i="5" s="1"/>
  <c r="L192" i="5"/>
  <c r="N192" i="5" s="1"/>
  <c r="V192" i="5" s="1"/>
  <c r="L196" i="5"/>
  <c r="N196" i="5" s="1"/>
  <c r="V196" i="5" s="1"/>
  <c r="K196" i="5"/>
  <c r="M196" i="5" s="1"/>
  <c r="U196" i="5" s="1"/>
  <c r="K258" i="5"/>
  <c r="M258" i="5" s="1"/>
  <c r="U258" i="5" s="1"/>
  <c r="L258" i="5"/>
  <c r="N258" i="5" s="1"/>
  <c r="V258" i="5" s="1"/>
  <c r="L230" i="5"/>
  <c r="N230" i="5" s="1"/>
  <c r="V230" i="5" s="1"/>
  <c r="K230" i="5"/>
  <c r="M230" i="5" s="1"/>
  <c r="U230" i="5" s="1"/>
  <c r="L236" i="5"/>
  <c r="N236" i="5" s="1"/>
  <c r="V236" i="5" s="1"/>
  <c r="K236" i="5"/>
  <c r="M236" i="5" s="1"/>
  <c r="U236" i="5" s="1"/>
  <c r="L222" i="5"/>
  <c r="N222" i="5" s="1"/>
  <c r="V222" i="5" s="1"/>
  <c r="K222" i="5"/>
  <c r="M222" i="5" s="1"/>
  <c r="U222" i="5" s="1"/>
  <c r="L225" i="5"/>
  <c r="N225" i="5" s="1"/>
  <c r="V225" i="5" s="1"/>
  <c r="K225" i="5"/>
  <c r="M225" i="5" s="1"/>
  <c r="U225" i="5" s="1"/>
  <c r="K233" i="5"/>
  <c r="M233" i="5" s="1"/>
  <c r="U233" i="5" s="1"/>
  <c r="L233" i="5"/>
  <c r="N233" i="5" s="1"/>
  <c r="V233" i="5" s="1"/>
  <c r="K244" i="5"/>
  <c r="M244" i="5" s="1"/>
  <c r="U244" i="5" s="1"/>
  <c r="L244" i="5"/>
  <c r="N244" i="5" s="1"/>
  <c r="V244" i="5" s="1"/>
  <c r="L260" i="5"/>
  <c r="N260" i="5" s="1"/>
  <c r="V260" i="5" s="1"/>
  <c r="K260" i="5"/>
  <c r="M260" i="5" s="1"/>
  <c r="U260" i="5" s="1"/>
  <c r="L257" i="5"/>
  <c r="N257" i="5" s="1"/>
  <c r="V257" i="5" s="1"/>
  <c r="K257" i="5"/>
  <c r="M257" i="5" s="1"/>
  <c r="U257" i="5" s="1"/>
  <c r="L234" i="5"/>
  <c r="N234" i="5" s="1"/>
  <c r="V234" i="5" s="1"/>
  <c r="K234" i="5"/>
  <c r="M234" i="5" s="1"/>
  <c r="U234" i="5" s="1"/>
  <c r="K262" i="5"/>
  <c r="M262" i="5" s="1"/>
  <c r="U262" i="5" s="1"/>
  <c r="L262" i="5"/>
  <c r="N262" i="5" s="1"/>
  <c r="V262" i="5" s="1"/>
  <c r="L240" i="5"/>
  <c r="N240" i="5" s="1"/>
  <c r="V240" i="5" s="1"/>
  <c r="K240" i="5"/>
  <c r="M240" i="5" s="1"/>
  <c r="U240" i="5" s="1"/>
  <c r="L224" i="5"/>
  <c r="N224" i="5" s="1"/>
  <c r="V224" i="5" s="1"/>
  <c r="K224" i="5"/>
  <c r="M224" i="5" s="1"/>
  <c r="U224" i="5" s="1"/>
  <c r="L227" i="5"/>
  <c r="N227" i="5" s="1"/>
  <c r="V227" i="5" s="1"/>
  <c r="K227" i="5"/>
  <c r="M227" i="5" s="1"/>
  <c r="U227" i="5" s="1"/>
  <c r="L235" i="5"/>
  <c r="N235" i="5" s="1"/>
  <c r="V235" i="5" s="1"/>
  <c r="K235" i="5"/>
  <c r="M235" i="5" s="1"/>
  <c r="U235" i="5" s="1"/>
  <c r="K248" i="5"/>
  <c r="M248" i="5" s="1"/>
  <c r="U248" i="5" s="1"/>
  <c r="L248" i="5"/>
  <c r="N248" i="5" s="1"/>
  <c r="V248" i="5" s="1"/>
  <c r="L245" i="5"/>
  <c r="N245" i="5" s="1"/>
  <c r="V245" i="5" s="1"/>
  <c r="K245" i="5"/>
  <c r="M245" i="5" s="1"/>
  <c r="U245" i="5" s="1"/>
  <c r="L261" i="5"/>
  <c r="N261" i="5" s="1"/>
  <c r="V261" i="5" s="1"/>
  <c r="K261" i="5"/>
  <c r="M261" i="5" s="1"/>
  <c r="U261" i="5" s="1"/>
  <c r="K247" i="5"/>
  <c r="M247" i="5" s="1"/>
  <c r="U247" i="5" s="1"/>
  <c r="L247" i="5"/>
  <c r="N247" i="5" s="1"/>
  <c r="V247" i="5" s="1"/>
  <c r="L255" i="5"/>
  <c r="N255" i="5" s="1"/>
  <c r="V255" i="5" s="1"/>
  <c r="K255" i="5"/>
  <c r="M255" i="5" s="1"/>
  <c r="U255" i="5" s="1"/>
  <c r="L286" i="5"/>
  <c r="N286" i="5" s="1"/>
  <c r="V286" i="5" s="1"/>
  <c r="K286" i="5"/>
  <c r="M286" i="5" s="1"/>
  <c r="U286" i="5" s="1"/>
  <c r="K301" i="5"/>
  <c r="M301" i="5" s="1"/>
  <c r="U301" i="5" s="1"/>
  <c r="L301" i="5"/>
  <c r="N301" i="5" s="1"/>
  <c r="V301" i="5" s="1"/>
  <c r="K291" i="5"/>
  <c r="M291" i="5" s="1"/>
  <c r="U291" i="5" s="1"/>
  <c r="L291" i="5"/>
  <c r="N291" i="5" s="1"/>
  <c r="V291" i="5" s="1"/>
  <c r="K303" i="5"/>
  <c r="M303" i="5" s="1"/>
  <c r="U303" i="5" s="1"/>
  <c r="L303" i="5"/>
  <c r="N303" i="5" s="1"/>
  <c r="V303" i="5" s="1"/>
  <c r="L300" i="5"/>
  <c r="N300" i="5" s="1"/>
  <c r="V300" i="5" s="1"/>
  <c r="K300" i="5"/>
  <c r="M300" i="5" s="1"/>
  <c r="U300" i="5" s="1"/>
  <c r="L297" i="5"/>
  <c r="N297" i="5" s="1"/>
  <c r="V297" i="5" s="1"/>
  <c r="K297" i="5"/>
  <c r="M297" i="5" s="1"/>
  <c r="U297" i="5" s="1"/>
  <c r="K292" i="5"/>
  <c r="M292" i="5" s="1"/>
  <c r="U292" i="5" s="1"/>
  <c r="L292" i="5"/>
  <c r="N292" i="5" s="1"/>
  <c r="V292" i="5" s="1"/>
  <c r="K289" i="5"/>
  <c r="M289" i="5" s="1"/>
  <c r="U289" i="5" s="1"/>
  <c r="L289" i="5"/>
  <c r="N289" i="5" s="1"/>
  <c r="V289" i="5" s="1"/>
  <c r="L299" i="5"/>
  <c r="N299" i="5" s="1"/>
  <c r="V299" i="5" s="1"/>
  <c r="K299" i="5"/>
  <c r="M299" i="5" s="1"/>
  <c r="U299" i="5" s="1"/>
  <c r="L298" i="5"/>
  <c r="N298" i="5" s="1"/>
  <c r="V298" i="5" s="1"/>
  <c r="K298" i="5"/>
  <c r="M298" i="5" s="1"/>
  <c r="U298" i="5" s="1"/>
  <c r="L39" i="5"/>
  <c r="N39" i="5" s="1"/>
  <c r="V39" i="5" s="1"/>
  <c r="K39" i="5"/>
  <c r="M39" i="5" s="1"/>
  <c r="U39" i="5" s="1"/>
  <c r="K34" i="5"/>
  <c r="M34" i="5" s="1"/>
  <c r="U34" i="5" s="1"/>
  <c r="L34" i="5"/>
  <c r="N34" i="5" s="1"/>
  <c r="V34" i="5" s="1"/>
  <c r="K50" i="5"/>
  <c r="M50" i="5" s="1"/>
  <c r="U50" i="5" s="1"/>
  <c r="L50" i="5"/>
  <c r="N50" i="5" s="1"/>
  <c r="V50" i="5" s="1"/>
  <c r="L43" i="5"/>
  <c r="N43" i="5" s="1"/>
  <c r="V43" i="5" s="1"/>
  <c r="K43" i="5"/>
  <c r="M43" i="5" s="1"/>
  <c r="U43" i="5" s="1"/>
  <c r="L38" i="5"/>
  <c r="N38" i="5" s="1"/>
  <c r="V38" i="5" s="1"/>
  <c r="K38" i="5"/>
  <c r="M38" i="5" s="1"/>
  <c r="U38" i="5" s="1"/>
  <c r="L33" i="5"/>
  <c r="N33" i="5" s="1"/>
  <c r="V33" i="5" s="1"/>
  <c r="K33" i="5"/>
  <c r="M33" i="5" s="1"/>
  <c r="U33" i="5" s="1"/>
  <c r="K41" i="5"/>
  <c r="M41" i="5" s="1"/>
  <c r="U41" i="5" s="1"/>
  <c r="L41" i="5"/>
  <c r="N41" i="5" s="1"/>
  <c r="V41" i="5" s="1"/>
  <c r="K49" i="5"/>
  <c r="M49" i="5" s="1"/>
  <c r="U49" i="5" s="1"/>
  <c r="L49" i="5"/>
  <c r="N49" i="5" s="1"/>
  <c r="V49" i="5" s="1"/>
  <c r="L36" i="5"/>
  <c r="N36" i="5" s="1"/>
  <c r="V36" i="5" s="1"/>
  <c r="K36" i="5"/>
  <c r="M36" i="5" s="1"/>
  <c r="U36" i="5" s="1"/>
  <c r="K44" i="5"/>
  <c r="M44" i="5" s="1"/>
  <c r="U44" i="5" s="1"/>
  <c r="L44" i="5"/>
  <c r="N44" i="5" s="1"/>
  <c r="V44" i="5" s="1"/>
  <c r="L52" i="5"/>
  <c r="N52" i="5" s="1"/>
  <c r="V52" i="5" s="1"/>
  <c r="K52" i="5"/>
  <c r="M52" i="5" s="1"/>
  <c r="U52" i="5" s="1"/>
  <c r="L79" i="5"/>
  <c r="N79" i="5" s="1"/>
  <c r="V79" i="5" s="1"/>
  <c r="K79" i="5"/>
  <c r="M79" i="5" s="1"/>
  <c r="U79" i="5" s="1"/>
  <c r="L76" i="5"/>
  <c r="N76" i="5" s="1"/>
  <c r="V76" i="5" s="1"/>
  <c r="K76" i="5"/>
  <c r="M76" i="5" s="1"/>
  <c r="U76" i="5" s="1"/>
  <c r="K92" i="5"/>
  <c r="M92" i="5" s="1"/>
  <c r="U92" i="5" s="1"/>
  <c r="L92" i="5"/>
  <c r="N92" i="5" s="1"/>
  <c r="V92" i="5" s="1"/>
  <c r="L89" i="5"/>
  <c r="N89" i="5" s="1"/>
  <c r="V89" i="5" s="1"/>
  <c r="K89" i="5"/>
  <c r="M89" i="5" s="1"/>
  <c r="U89" i="5" s="1"/>
  <c r="L80" i="5"/>
  <c r="N80" i="5" s="1"/>
  <c r="V80" i="5" s="1"/>
  <c r="K80" i="5"/>
  <c r="M80" i="5" s="1"/>
  <c r="U80" i="5" s="1"/>
  <c r="L94" i="5"/>
  <c r="N94" i="5" s="1"/>
  <c r="V94" i="5" s="1"/>
  <c r="K94" i="5"/>
  <c r="M94" i="5" s="1"/>
  <c r="U94" i="5" s="1"/>
  <c r="L83" i="5"/>
  <c r="N83" i="5" s="1"/>
  <c r="V83" i="5" s="1"/>
  <c r="K83" i="5"/>
  <c r="M83" i="5" s="1"/>
  <c r="U83" i="5" s="1"/>
  <c r="L85" i="5"/>
  <c r="N85" i="5" s="1"/>
  <c r="V85" i="5" s="1"/>
  <c r="K85" i="5"/>
  <c r="M85" i="5" s="1"/>
  <c r="U85" i="5" s="1"/>
  <c r="L82" i="5"/>
  <c r="N82" i="5" s="1"/>
  <c r="V82" i="5" s="1"/>
  <c r="K82" i="5"/>
  <c r="M82" i="5" s="1"/>
  <c r="U82" i="5" s="1"/>
  <c r="K90" i="5"/>
  <c r="M90" i="5" s="1"/>
  <c r="U90" i="5" s="1"/>
  <c r="L90" i="5"/>
  <c r="N90" i="5" s="1"/>
  <c r="V90" i="5" s="1"/>
  <c r="L172" i="5"/>
  <c r="N172" i="5" s="1"/>
  <c r="V172" i="5" s="1"/>
  <c r="K172" i="5"/>
  <c r="M172" i="5" s="1"/>
  <c r="U172" i="5" s="1"/>
  <c r="K165" i="5"/>
  <c r="M165" i="5" s="1"/>
  <c r="U165" i="5" s="1"/>
  <c r="L165" i="5"/>
  <c r="N165" i="5" s="1"/>
  <c r="V165" i="5" s="1"/>
  <c r="L160" i="5"/>
  <c r="N160" i="5" s="1"/>
  <c r="V160" i="5" s="1"/>
  <c r="K160" i="5"/>
  <c r="M160" i="5" s="1"/>
  <c r="U160" i="5" s="1"/>
  <c r="K176" i="5"/>
  <c r="M176" i="5" s="1"/>
  <c r="U176" i="5" s="1"/>
  <c r="L176" i="5"/>
  <c r="N176" i="5" s="1"/>
  <c r="V176" i="5" s="1"/>
  <c r="L169" i="5"/>
  <c r="N169" i="5" s="1"/>
  <c r="V169" i="5" s="1"/>
  <c r="K169" i="5"/>
  <c r="M169" i="5" s="1"/>
  <c r="U169" i="5" s="1"/>
  <c r="K166" i="5"/>
  <c r="M166" i="5" s="1"/>
  <c r="U166" i="5" s="1"/>
  <c r="L166" i="5"/>
  <c r="N166" i="5" s="1"/>
  <c r="V166" i="5" s="1"/>
  <c r="K174" i="5"/>
  <c r="M174" i="5" s="1"/>
  <c r="U174" i="5" s="1"/>
  <c r="L174" i="5"/>
  <c r="N174" i="5" s="1"/>
  <c r="V174" i="5" s="1"/>
  <c r="L167" i="5"/>
  <c r="N167" i="5" s="1"/>
  <c r="V167" i="5" s="1"/>
  <c r="K167" i="5"/>
  <c r="M167" i="5" s="1"/>
  <c r="U167" i="5" s="1"/>
  <c r="L175" i="5"/>
  <c r="N175" i="5" s="1"/>
  <c r="V175" i="5" s="1"/>
  <c r="K175" i="5"/>
  <c r="M175" i="5" s="1"/>
  <c r="U175" i="5" s="1"/>
  <c r="L218" i="5"/>
  <c r="N218" i="5" s="1"/>
  <c r="V218" i="5" s="1"/>
  <c r="K218" i="5"/>
  <c r="M218" i="5" s="1"/>
  <c r="U218" i="5" s="1"/>
  <c r="K211" i="5"/>
  <c r="M211" i="5" s="1"/>
  <c r="U211" i="5" s="1"/>
  <c r="L211" i="5"/>
  <c r="N211" i="5" s="1"/>
  <c r="V211" i="5" s="1"/>
  <c r="K212" i="5"/>
  <c r="M212" i="5" s="1"/>
  <c r="U212" i="5" s="1"/>
  <c r="L212" i="5"/>
  <c r="N212" i="5" s="1"/>
  <c r="V212" i="5" s="1"/>
  <c r="L220" i="5"/>
  <c r="N220" i="5" s="1"/>
  <c r="V220" i="5" s="1"/>
  <c r="K220" i="5"/>
  <c r="M220" i="5" s="1"/>
  <c r="U220" i="5" s="1"/>
  <c r="L215" i="5"/>
  <c r="N215" i="5" s="1"/>
  <c r="V215" i="5" s="1"/>
  <c r="K215" i="5"/>
  <c r="M215" i="5" s="1"/>
  <c r="U215" i="5" s="1"/>
  <c r="K202" i="5"/>
  <c r="M202" i="5" s="1"/>
  <c r="U202" i="5" s="1"/>
  <c r="L202" i="5"/>
  <c r="N202" i="5" s="1"/>
  <c r="V202" i="5" s="1"/>
  <c r="K214" i="5"/>
  <c r="M214" i="5" s="1"/>
  <c r="U214" i="5" s="1"/>
  <c r="L214" i="5"/>
  <c r="N214" i="5" s="1"/>
  <c r="V214" i="5" s="1"/>
  <c r="L201" i="5"/>
  <c r="N201" i="5" s="1"/>
  <c r="V201" i="5" s="1"/>
  <c r="K201" i="5"/>
  <c r="M201" i="5" s="1"/>
  <c r="U201" i="5" s="1"/>
  <c r="K209" i="5"/>
  <c r="M209" i="5" s="1"/>
  <c r="U209" i="5" s="1"/>
  <c r="L209" i="5"/>
  <c r="N209" i="5" s="1"/>
  <c r="V209" i="5" s="1"/>
  <c r="K217" i="5"/>
  <c r="M217" i="5" s="1"/>
  <c r="U217" i="5" s="1"/>
  <c r="L217" i="5"/>
  <c r="N217" i="5" s="1"/>
  <c r="V217" i="5" s="1"/>
  <c r="L243" i="5"/>
  <c r="N243" i="5" s="1"/>
  <c r="V243" i="5" s="1"/>
  <c r="K243" i="5"/>
  <c r="M243" i="5" s="1"/>
  <c r="U243" i="5" s="1"/>
  <c r="L67" i="5"/>
  <c r="N67" i="5" s="1"/>
  <c r="V67" i="5" s="1"/>
  <c r="K67" i="5"/>
  <c r="M67" i="5" s="1"/>
  <c r="U67" i="5" s="1"/>
  <c r="L56" i="5"/>
  <c r="N56" i="5" s="1"/>
  <c r="V56" i="5" s="1"/>
  <c r="K56" i="5"/>
  <c r="M56" i="5" s="1"/>
  <c r="U56" i="5" s="1"/>
  <c r="L72" i="5"/>
  <c r="N72" i="5" s="1"/>
  <c r="V72" i="5" s="1"/>
  <c r="K72" i="5"/>
  <c r="M72" i="5" s="1"/>
  <c r="U72" i="5" s="1"/>
  <c r="K54" i="5"/>
  <c r="M54" i="5" s="1"/>
  <c r="U54" i="5" s="1"/>
  <c r="L54" i="5"/>
  <c r="N54" i="5" s="1"/>
  <c r="V54" i="5" s="1"/>
  <c r="L60" i="5"/>
  <c r="N60" i="5" s="1"/>
  <c r="V60" i="5" s="1"/>
  <c r="K60" i="5"/>
  <c r="M60" i="5" s="1"/>
  <c r="U60" i="5" s="1"/>
  <c r="K55" i="5"/>
  <c r="M55" i="5" s="1"/>
  <c r="U55" i="5" s="1"/>
  <c r="L55" i="5"/>
  <c r="N55" i="5" s="1"/>
  <c r="V55" i="5" s="1"/>
  <c r="K71" i="5"/>
  <c r="M71" i="5" s="1"/>
  <c r="U71" i="5" s="1"/>
  <c r="L71" i="5"/>
  <c r="N71" i="5" s="1"/>
  <c r="V71" i="5" s="1"/>
  <c r="K65" i="5"/>
  <c r="M65" i="5" s="1"/>
  <c r="U65" i="5" s="1"/>
  <c r="L65" i="5"/>
  <c r="N65" i="5" s="1"/>
  <c r="V65" i="5" s="1"/>
  <c r="K58" i="5"/>
  <c r="M58" i="5" s="1"/>
  <c r="U58" i="5" s="1"/>
  <c r="L58" i="5"/>
  <c r="N58" i="5" s="1"/>
  <c r="V58" i="5" s="1"/>
  <c r="K66" i="5"/>
  <c r="M66" i="5" s="1"/>
  <c r="U66" i="5" s="1"/>
  <c r="L66" i="5"/>
  <c r="N66" i="5" s="1"/>
  <c r="V66" i="5" s="1"/>
  <c r="K114" i="5"/>
  <c r="M114" i="5" s="1"/>
  <c r="U114" i="5" s="1"/>
  <c r="L114" i="5"/>
  <c r="N114" i="5" s="1"/>
  <c r="V114" i="5" s="1"/>
  <c r="L99" i="5"/>
  <c r="N99" i="5" s="1"/>
  <c r="V99" i="5" s="1"/>
  <c r="K99" i="5"/>
  <c r="M99" i="5" s="1"/>
  <c r="U99" i="5" s="1"/>
  <c r="L115" i="5"/>
  <c r="N115" i="5" s="1"/>
  <c r="V115" i="5" s="1"/>
  <c r="K115" i="5"/>
  <c r="M115" i="5" s="1"/>
  <c r="U115" i="5" s="1"/>
  <c r="L106" i="5"/>
  <c r="N106" i="5" s="1"/>
  <c r="V106" i="5" s="1"/>
  <c r="K106" i="5"/>
  <c r="M106" i="5" s="1"/>
  <c r="U106" i="5" s="1"/>
  <c r="K103" i="5"/>
  <c r="M103" i="5" s="1"/>
  <c r="U103" i="5" s="1"/>
  <c r="L103" i="5"/>
  <c r="N103" i="5" s="1"/>
  <c r="V103" i="5" s="1"/>
  <c r="K112" i="5"/>
  <c r="M112" i="5" s="1"/>
  <c r="U112" i="5" s="1"/>
  <c r="L112" i="5"/>
  <c r="N112" i="5" s="1"/>
  <c r="V112" i="5" s="1"/>
  <c r="K110" i="5"/>
  <c r="M110" i="5" s="1"/>
  <c r="U110" i="5" s="1"/>
  <c r="L110" i="5"/>
  <c r="N110" i="5" s="1"/>
  <c r="V110" i="5" s="1"/>
  <c r="L96" i="5"/>
  <c r="N96" i="5" s="1"/>
  <c r="V96" i="5" s="1"/>
  <c r="K96" i="5"/>
  <c r="M96" i="5" s="1"/>
  <c r="U96" i="5" s="1"/>
  <c r="K101" i="5"/>
  <c r="M101" i="5" s="1"/>
  <c r="U101" i="5" s="1"/>
  <c r="L101" i="5"/>
  <c r="N101" i="5" s="1"/>
  <c r="V101" i="5" s="1"/>
  <c r="L109" i="5"/>
  <c r="N109" i="5" s="1"/>
  <c r="V109" i="5" s="1"/>
  <c r="K109" i="5"/>
  <c r="M109" i="5" s="1"/>
  <c r="U109" i="5" s="1"/>
  <c r="L180" i="5"/>
  <c r="N180" i="5" s="1"/>
  <c r="V180" i="5" s="1"/>
  <c r="K180" i="5"/>
  <c r="M180" i="5" s="1"/>
  <c r="U180" i="5" s="1"/>
  <c r="L193" i="5"/>
  <c r="N193" i="5" s="1"/>
  <c r="V193" i="5" s="1"/>
  <c r="K193" i="5"/>
  <c r="M193" i="5" s="1"/>
  <c r="U193" i="5" s="1"/>
  <c r="K181" i="5"/>
  <c r="M181" i="5" s="1"/>
  <c r="U181" i="5" s="1"/>
  <c r="L181" i="5"/>
  <c r="N181" i="5" s="1"/>
  <c r="V181" i="5" s="1"/>
  <c r="K197" i="5"/>
  <c r="M197" i="5" s="1"/>
  <c r="U197" i="5" s="1"/>
  <c r="L197" i="5"/>
  <c r="N197" i="5" s="1"/>
  <c r="V197" i="5" s="1"/>
  <c r="K198" i="5"/>
  <c r="M198" i="5" s="1"/>
  <c r="U198" i="5" s="1"/>
  <c r="L198" i="5"/>
  <c r="N198" i="5" s="1"/>
  <c r="V198" i="5" s="1"/>
  <c r="K182" i="5"/>
  <c r="M182" i="5" s="1"/>
  <c r="U182" i="5" s="1"/>
  <c r="L182" i="5"/>
  <c r="N182" i="5" s="1"/>
  <c r="V182" i="5" s="1"/>
  <c r="K183" i="5"/>
  <c r="M183" i="5" s="1"/>
  <c r="U183" i="5" s="1"/>
  <c r="L183" i="5"/>
  <c r="N183" i="5" s="1"/>
  <c r="V183" i="5" s="1"/>
  <c r="L191" i="5"/>
  <c r="N191" i="5" s="1"/>
  <c r="V191" i="5" s="1"/>
  <c r="K191" i="5"/>
  <c r="M191" i="5" s="1"/>
  <c r="U191" i="5" s="1"/>
  <c r="L199" i="5"/>
  <c r="N199" i="5" s="1"/>
  <c r="V199" i="5" s="1"/>
  <c r="K199" i="5"/>
  <c r="M199" i="5" s="1"/>
  <c r="U199" i="5" s="1"/>
  <c r="K184" i="5"/>
  <c r="M184" i="5" s="1"/>
  <c r="U184" i="5" s="1"/>
  <c r="L184" i="5"/>
  <c r="N184" i="5" s="1"/>
  <c r="V184" i="5" s="1"/>
  <c r="K238" i="5"/>
  <c r="M238" i="5" s="1"/>
  <c r="U238" i="5" s="1"/>
  <c r="L238" i="5"/>
  <c r="N238" i="5" s="1"/>
  <c r="V238" i="5" s="1"/>
  <c r="K254" i="5"/>
  <c r="M254" i="5" s="1"/>
  <c r="U254" i="5" s="1"/>
  <c r="L254" i="5"/>
  <c r="N254" i="5" s="1"/>
  <c r="V254" i="5" s="1"/>
  <c r="K228" i="5"/>
  <c r="M228" i="5" s="1"/>
  <c r="U228" i="5" s="1"/>
  <c r="L228" i="5"/>
  <c r="N228" i="5" s="1"/>
  <c r="V228" i="5" s="1"/>
  <c r="L229" i="5"/>
  <c r="N229" i="5" s="1"/>
  <c r="V229" i="5" s="1"/>
  <c r="K229" i="5"/>
  <c r="M229" i="5" s="1"/>
  <c r="U229" i="5" s="1"/>
  <c r="K237" i="5"/>
  <c r="M237" i="5" s="1"/>
  <c r="U237" i="5" s="1"/>
  <c r="L237" i="5"/>
  <c r="N237" i="5" s="1"/>
  <c r="V237" i="5" s="1"/>
  <c r="K252" i="5"/>
  <c r="M252" i="5" s="1"/>
  <c r="U252" i="5" s="1"/>
  <c r="L252" i="5"/>
  <c r="N252" i="5" s="1"/>
  <c r="V252" i="5" s="1"/>
  <c r="L249" i="5"/>
  <c r="N249" i="5" s="1"/>
  <c r="V249" i="5" s="1"/>
  <c r="K249" i="5"/>
  <c r="M249" i="5" s="1"/>
  <c r="U249" i="5" s="1"/>
  <c r="L250" i="5"/>
  <c r="N250" i="5" s="1"/>
  <c r="V250" i="5" s="1"/>
  <c r="K250" i="5"/>
  <c r="M250" i="5" s="1"/>
  <c r="U250" i="5" s="1"/>
  <c r="K226" i="5"/>
  <c r="M226" i="5" s="1"/>
  <c r="U226" i="5" s="1"/>
  <c r="L226" i="5"/>
  <c r="N226" i="5" s="1"/>
  <c r="V226" i="5" s="1"/>
  <c r="K246" i="5"/>
  <c r="M246" i="5" s="1"/>
  <c r="U246" i="5" s="1"/>
  <c r="L246" i="5"/>
  <c r="N246" i="5" s="1"/>
  <c r="V246" i="5" s="1"/>
  <c r="L232" i="5"/>
  <c r="N232" i="5" s="1"/>
  <c r="V232" i="5" s="1"/>
  <c r="K232" i="5"/>
  <c r="M232" i="5" s="1"/>
  <c r="U232" i="5" s="1"/>
  <c r="K223" i="5"/>
  <c r="M223" i="5" s="1"/>
  <c r="U223" i="5" s="1"/>
  <c r="L223" i="5"/>
  <c r="N223" i="5" s="1"/>
  <c r="V223" i="5" s="1"/>
  <c r="K231" i="5"/>
  <c r="M231" i="5" s="1"/>
  <c r="U231" i="5" s="1"/>
  <c r="L231" i="5"/>
  <c r="N231" i="5" s="1"/>
  <c r="V231" i="5" s="1"/>
  <c r="K239" i="5"/>
  <c r="M239" i="5" s="1"/>
  <c r="U239" i="5" s="1"/>
  <c r="L239" i="5"/>
  <c r="N239" i="5" s="1"/>
  <c r="V239" i="5" s="1"/>
  <c r="K256" i="5"/>
  <c r="M256" i="5" s="1"/>
  <c r="U256" i="5" s="1"/>
  <c r="L256" i="5"/>
  <c r="N256" i="5" s="1"/>
  <c r="V256" i="5" s="1"/>
  <c r="K253" i="5"/>
  <c r="M253" i="5" s="1"/>
  <c r="U253" i="5" s="1"/>
  <c r="L253" i="5"/>
  <c r="N253" i="5" s="1"/>
  <c r="V253" i="5" s="1"/>
  <c r="K241" i="5"/>
  <c r="M241" i="5" s="1"/>
  <c r="U241" i="5" s="1"/>
  <c r="L241" i="5"/>
  <c r="N241" i="5" s="1"/>
  <c r="V241" i="5" s="1"/>
  <c r="K251" i="5"/>
  <c r="M251" i="5" s="1"/>
  <c r="U251" i="5" s="1"/>
  <c r="L251" i="5"/>
  <c r="N251" i="5" s="1"/>
  <c r="V251" i="5" s="1"/>
  <c r="K259" i="5"/>
  <c r="M259" i="5" s="1"/>
  <c r="U259" i="5" s="1"/>
  <c r="L259" i="5"/>
  <c r="N259" i="5" s="1"/>
  <c r="V259" i="5" s="1"/>
  <c r="K290" i="5"/>
  <c r="M290" i="5" s="1"/>
  <c r="U290" i="5" s="1"/>
  <c r="L290" i="5"/>
  <c r="N290" i="5" s="1"/>
  <c r="V290" i="5" s="1"/>
  <c r="L288" i="5"/>
  <c r="N288" i="5" s="1"/>
  <c r="V288" i="5" s="1"/>
  <c r="K288" i="5"/>
  <c r="M288" i="5" s="1"/>
  <c r="U288" i="5" s="1"/>
  <c r="L287" i="5"/>
  <c r="N287" i="5" s="1"/>
  <c r="V287" i="5" s="1"/>
  <c r="K287" i="5"/>
  <c r="M287" i="5" s="1"/>
  <c r="U287" i="5" s="1"/>
  <c r="L295" i="5"/>
  <c r="N295" i="5" s="1"/>
  <c r="V295" i="5" s="1"/>
  <c r="K295" i="5"/>
  <c r="M295" i="5" s="1"/>
  <c r="U295" i="5" s="1"/>
  <c r="L296" i="5"/>
  <c r="N296" i="5" s="1"/>
  <c r="V296" i="5" s="1"/>
  <c r="K296" i="5"/>
  <c r="M296" i="5" s="1"/>
  <c r="U296" i="5" s="1"/>
  <c r="L304" i="5"/>
  <c r="N304" i="5" s="1"/>
  <c r="V304" i="5" s="1"/>
  <c r="K304" i="5"/>
  <c r="M304" i="5" s="1"/>
  <c r="U304" i="5" s="1"/>
  <c r="K285" i="5"/>
  <c r="M285" i="5" s="1"/>
  <c r="U285" i="5" s="1"/>
  <c r="L285" i="5"/>
  <c r="N285" i="5" s="1"/>
  <c r="V285" i="5" s="1"/>
  <c r="L293" i="5"/>
  <c r="N293" i="5" s="1"/>
  <c r="V293" i="5" s="1"/>
  <c r="K293" i="5"/>
  <c r="M293" i="5" s="1"/>
  <c r="U293" i="5" s="1"/>
  <c r="L294" i="5"/>
  <c r="N294" i="5" s="1"/>
  <c r="V294" i="5" s="1"/>
  <c r="K294" i="5"/>
  <c r="M294" i="5" s="1"/>
  <c r="U294" i="5" s="1"/>
  <c r="L302" i="5"/>
  <c r="N302" i="5" s="1"/>
  <c r="V302" i="5" s="1"/>
  <c r="K302" i="5"/>
  <c r="M302" i="5" s="1"/>
  <c r="U302" i="5" s="1"/>
  <c r="L15" i="5"/>
  <c r="N15" i="5" s="1"/>
  <c r="V15" i="5" s="1"/>
  <c r="K15" i="5"/>
  <c r="M15" i="5" s="1"/>
  <c r="U15" i="5" s="1"/>
  <c r="K23" i="5"/>
  <c r="M23" i="5" s="1"/>
  <c r="U23" i="5" s="1"/>
  <c r="L23" i="5"/>
  <c r="N23" i="5" s="1"/>
  <c r="V23" i="5" s="1"/>
  <c r="L31" i="5"/>
  <c r="N31" i="5" s="1"/>
  <c r="V31" i="5" s="1"/>
  <c r="K31" i="5"/>
  <c r="M31" i="5" s="1"/>
  <c r="U31" i="5" s="1"/>
  <c r="K18" i="5"/>
  <c r="M18" i="5" s="1"/>
  <c r="U18" i="5" s="1"/>
  <c r="L18" i="5"/>
  <c r="N18" i="5" s="1"/>
  <c r="V18" i="5" s="1"/>
  <c r="L26" i="5"/>
  <c r="N26" i="5" s="1"/>
  <c r="V26" i="5" s="1"/>
  <c r="K26" i="5"/>
  <c r="M26" i="5" s="1"/>
  <c r="U26" i="5" s="1"/>
  <c r="K13" i="5"/>
  <c r="M13" i="5" s="1"/>
  <c r="U13" i="5" s="1"/>
  <c r="L13" i="5"/>
  <c r="N13" i="5" s="1"/>
  <c r="V13" i="5" s="1"/>
  <c r="K21" i="5"/>
  <c r="M21" i="5" s="1"/>
  <c r="U21" i="5" s="1"/>
  <c r="L21" i="5"/>
  <c r="N21" i="5" s="1"/>
  <c r="V21" i="5" s="1"/>
  <c r="L29" i="5"/>
  <c r="N29" i="5" s="1"/>
  <c r="V29" i="5" s="1"/>
  <c r="K29" i="5"/>
  <c r="M29" i="5" s="1"/>
  <c r="U29" i="5" s="1"/>
  <c r="L16" i="5"/>
  <c r="N16" i="5" s="1"/>
  <c r="V16" i="5" s="1"/>
  <c r="K16" i="5"/>
  <c r="M16" i="5" s="1"/>
  <c r="U16" i="5" s="1"/>
  <c r="L24" i="5"/>
  <c r="N24" i="5" s="1"/>
  <c r="V24" i="5" s="1"/>
  <c r="K24" i="5"/>
  <c r="M24" i="5" s="1"/>
  <c r="U24" i="5" s="1"/>
  <c r="L19" i="5"/>
  <c r="N19" i="5" s="1"/>
  <c r="V19" i="5" s="1"/>
  <c r="K19" i="5"/>
  <c r="M19" i="5" s="1"/>
  <c r="U19" i="5" s="1"/>
  <c r="K27" i="5"/>
  <c r="M27" i="5" s="1"/>
  <c r="U27" i="5" s="1"/>
  <c r="L27" i="5"/>
  <c r="N27" i="5" s="1"/>
  <c r="V27" i="5" s="1"/>
  <c r="L14" i="5"/>
  <c r="N14" i="5" s="1"/>
  <c r="V14" i="5" s="1"/>
  <c r="K14" i="5"/>
  <c r="M14" i="5" s="1"/>
  <c r="U14" i="5" s="1"/>
  <c r="L22" i="5"/>
  <c r="N22" i="5" s="1"/>
  <c r="V22" i="5" s="1"/>
  <c r="K22" i="5"/>
  <c r="M22" i="5" s="1"/>
  <c r="U22" i="5" s="1"/>
  <c r="L30" i="5"/>
  <c r="N30" i="5" s="1"/>
  <c r="V30" i="5" s="1"/>
  <c r="K30" i="5"/>
  <c r="M30" i="5" s="1"/>
  <c r="U30" i="5" s="1"/>
  <c r="K17" i="5"/>
  <c r="M17" i="5" s="1"/>
  <c r="U17" i="5" s="1"/>
  <c r="L17" i="5"/>
  <c r="N17" i="5" s="1"/>
  <c r="V17" i="5" s="1"/>
  <c r="K25" i="5"/>
  <c r="M25" i="5" s="1"/>
  <c r="U25" i="5" s="1"/>
  <c r="L25" i="5"/>
  <c r="N25" i="5" s="1"/>
  <c r="V25" i="5" s="1"/>
  <c r="L12" i="5"/>
  <c r="N12" i="5" s="1"/>
  <c r="V12" i="5" s="1"/>
  <c r="K12" i="5"/>
  <c r="M12" i="5" s="1"/>
  <c r="U12" i="5" s="1"/>
  <c r="L20" i="5"/>
  <c r="N20" i="5" s="1"/>
  <c r="V20" i="5" s="1"/>
  <c r="K20" i="5"/>
  <c r="M20" i="5" s="1"/>
  <c r="U20" i="5" s="1"/>
  <c r="K28" i="5"/>
  <c r="M28" i="5" s="1"/>
  <c r="U28" i="5" s="1"/>
  <c r="L28" i="5"/>
  <c r="N28" i="5" s="1"/>
  <c r="V28" i="5" s="1"/>
  <c r="J204" i="3"/>
  <c r="J216" i="3"/>
  <c r="J208" i="3"/>
  <c r="J203" i="3"/>
  <c r="J207" i="3"/>
  <c r="J211" i="3"/>
  <c r="J215" i="3"/>
  <c r="J219" i="3"/>
  <c r="J218" i="3"/>
  <c r="J210" i="3"/>
  <c r="J202" i="3"/>
  <c r="U200" i="3"/>
  <c r="J220" i="3"/>
  <c r="J212" i="3"/>
  <c r="J205" i="3"/>
  <c r="J209" i="3"/>
  <c r="J213" i="3"/>
  <c r="J217" i="3"/>
  <c r="J201" i="3"/>
  <c r="J214" i="3"/>
  <c r="J206" i="3"/>
  <c r="R201" i="3"/>
  <c r="V200" i="3" s="1"/>
  <c r="J217" i="6"/>
  <c r="J213" i="6"/>
  <c r="J209" i="6"/>
  <c r="J205" i="6"/>
  <c r="R201" i="6"/>
  <c r="V200" i="6" s="1"/>
  <c r="J220" i="6"/>
  <c r="J216" i="6"/>
  <c r="J212" i="6"/>
  <c r="J208" i="6"/>
  <c r="J204" i="6"/>
  <c r="U200" i="6"/>
  <c r="J219" i="6"/>
  <c r="J215" i="6"/>
  <c r="J211" i="6"/>
  <c r="J207" i="6"/>
  <c r="J203" i="6"/>
  <c r="J201" i="6"/>
  <c r="J218" i="6"/>
  <c r="J214" i="6"/>
  <c r="J210" i="6"/>
  <c r="J206" i="6"/>
  <c r="J202" i="6"/>
  <c r="J181" i="3"/>
  <c r="J194" i="3"/>
  <c r="J186" i="3"/>
  <c r="J196" i="3"/>
  <c r="J188" i="3"/>
  <c r="J197" i="3"/>
  <c r="J193" i="3"/>
  <c r="J189" i="3"/>
  <c r="J185" i="3"/>
  <c r="J198" i="3"/>
  <c r="J190" i="3"/>
  <c r="J182" i="3"/>
  <c r="J180" i="3"/>
  <c r="J192" i="3"/>
  <c r="J184" i="3"/>
  <c r="J199" i="3"/>
  <c r="J195" i="3"/>
  <c r="J191" i="3"/>
  <c r="J187" i="3"/>
  <c r="J183" i="3"/>
  <c r="U179" i="3"/>
  <c r="R180" i="3"/>
  <c r="V179" i="3" s="1"/>
  <c r="J198" i="6"/>
  <c r="J194" i="6"/>
  <c r="J190" i="6"/>
  <c r="J186" i="6"/>
  <c r="J182" i="6"/>
  <c r="J180" i="6"/>
  <c r="J195" i="6"/>
  <c r="J191" i="6"/>
  <c r="J187" i="6"/>
  <c r="J183" i="6"/>
  <c r="U179" i="6"/>
  <c r="J199" i="6"/>
  <c r="J196" i="6"/>
  <c r="J192" i="6"/>
  <c r="J188" i="6"/>
  <c r="J184" i="6"/>
  <c r="R180" i="6"/>
  <c r="V179" i="6" s="1"/>
  <c r="J197" i="6"/>
  <c r="J193" i="6"/>
  <c r="J189" i="6"/>
  <c r="J185" i="6"/>
  <c r="J181" i="6"/>
  <c r="K138" i="5"/>
  <c r="M138" i="5" s="1"/>
  <c r="U138" i="5" s="1"/>
  <c r="L138" i="5"/>
  <c r="N138" i="5" s="1"/>
  <c r="V138" i="5" s="1"/>
  <c r="K140" i="5"/>
  <c r="M140" i="5" s="1"/>
  <c r="U140" i="5" s="1"/>
  <c r="L140" i="5"/>
  <c r="N140" i="5" s="1"/>
  <c r="V140" i="5" s="1"/>
  <c r="L120" i="5"/>
  <c r="N120" i="5" s="1"/>
  <c r="V120" i="5" s="1"/>
  <c r="K120" i="5"/>
  <c r="M120" i="5" s="1"/>
  <c r="U120" i="5" s="1"/>
  <c r="K119" i="5"/>
  <c r="M119" i="5" s="1"/>
  <c r="U119" i="5" s="1"/>
  <c r="L119" i="5"/>
  <c r="N119" i="5" s="1"/>
  <c r="V119" i="5" s="1"/>
  <c r="L127" i="5"/>
  <c r="N127" i="5" s="1"/>
  <c r="V127" i="5" s="1"/>
  <c r="K127" i="5"/>
  <c r="M127" i="5" s="1"/>
  <c r="U127" i="5" s="1"/>
  <c r="K145" i="5"/>
  <c r="M145" i="5" s="1"/>
  <c r="U145" i="5" s="1"/>
  <c r="L145" i="5"/>
  <c r="N145" i="5" s="1"/>
  <c r="V145" i="5" s="1"/>
  <c r="L153" i="5"/>
  <c r="N153" i="5" s="1"/>
  <c r="V153" i="5" s="1"/>
  <c r="K153" i="5"/>
  <c r="M153" i="5" s="1"/>
  <c r="U153" i="5" s="1"/>
  <c r="L130" i="5"/>
  <c r="N130" i="5" s="1"/>
  <c r="V130" i="5" s="1"/>
  <c r="K130" i="5"/>
  <c r="M130" i="5" s="1"/>
  <c r="U130" i="5" s="1"/>
  <c r="K149" i="5"/>
  <c r="M149" i="5" s="1"/>
  <c r="U149" i="5" s="1"/>
  <c r="L149" i="5"/>
  <c r="N149" i="5" s="1"/>
  <c r="V149" i="5" s="1"/>
  <c r="K128" i="5"/>
  <c r="M128" i="5" s="1"/>
  <c r="U128" i="5" s="1"/>
  <c r="L128" i="5"/>
  <c r="N128" i="5" s="1"/>
  <c r="V128" i="5" s="1"/>
  <c r="K146" i="5"/>
  <c r="M146" i="5" s="1"/>
  <c r="U146" i="5" s="1"/>
  <c r="L146" i="5"/>
  <c r="N146" i="5" s="1"/>
  <c r="V146" i="5" s="1"/>
  <c r="K123" i="5"/>
  <c r="M123" i="5" s="1"/>
  <c r="U123" i="5" s="1"/>
  <c r="L123" i="5"/>
  <c r="N123" i="5" s="1"/>
  <c r="V123" i="5" s="1"/>
  <c r="K131" i="5"/>
  <c r="M131" i="5" s="1"/>
  <c r="U131" i="5" s="1"/>
  <c r="L131" i="5"/>
  <c r="N131" i="5" s="1"/>
  <c r="V131" i="5" s="1"/>
  <c r="L141" i="5"/>
  <c r="N141" i="5" s="1"/>
  <c r="V141" i="5" s="1"/>
  <c r="K141" i="5"/>
  <c r="M141" i="5" s="1"/>
  <c r="U141" i="5" s="1"/>
  <c r="K151" i="5"/>
  <c r="M151" i="5" s="1"/>
  <c r="U151" i="5" s="1"/>
  <c r="L151" i="5"/>
  <c r="N151" i="5" s="1"/>
  <c r="V151" i="5" s="1"/>
  <c r="L154" i="5"/>
  <c r="N154" i="5" s="1"/>
  <c r="V154" i="5" s="1"/>
  <c r="K154" i="5"/>
  <c r="M154" i="5" s="1"/>
  <c r="U154" i="5" s="1"/>
  <c r="L157" i="5"/>
  <c r="N157" i="5" s="1"/>
  <c r="V157" i="5" s="1"/>
  <c r="K157" i="5"/>
  <c r="M157" i="5" s="1"/>
  <c r="U157" i="5" s="1"/>
  <c r="K126" i="5"/>
  <c r="M126" i="5" s="1"/>
  <c r="U126" i="5" s="1"/>
  <c r="L126" i="5"/>
  <c r="N126" i="5" s="1"/>
  <c r="V126" i="5" s="1"/>
  <c r="L144" i="5"/>
  <c r="N144" i="5" s="1"/>
  <c r="V144" i="5" s="1"/>
  <c r="K144" i="5"/>
  <c r="M144" i="5" s="1"/>
  <c r="U144" i="5" s="1"/>
  <c r="K124" i="5"/>
  <c r="M124" i="5" s="1"/>
  <c r="U124" i="5" s="1"/>
  <c r="L124" i="5"/>
  <c r="N124" i="5" s="1"/>
  <c r="V124" i="5" s="1"/>
  <c r="K142" i="5"/>
  <c r="M142" i="5" s="1"/>
  <c r="U142" i="5" s="1"/>
  <c r="L142" i="5"/>
  <c r="N142" i="5" s="1"/>
  <c r="V142" i="5" s="1"/>
  <c r="L121" i="5"/>
  <c r="N121" i="5" s="1"/>
  <c r="V121" i="5" s="1"/>
  <c r="K121" i="5"/>
  <c r="M121" i="5" s="1"/>
  <c r="U121" i="5" s="1"/>
  <c r="L129" i="5"/>
  <c r="N129" i="5" s="1"/>
  <c r="V129" i="5" s="1"/>
  <c r="K129" i="5"/>
  <c r="M129" i="5" s="1"/>
  <c r="U129" i="5" s="1"/>
  <c r="L139" i="5"/>
  <c r="N139" i="5" s="1"/>
  <c r="V139" i="5" s="1"/>
  <c r="K139" i="5"/>
  <c r="M139" i="5" s="1"/>
  <c r="U139" i="5" s="1"/>
  <c r="L147" i="5"/>
  <c r="N147" i="5" s="1"/>
  <c r="V147" i="5" s="1"/>
  <c r="K147" i="5"/>
  <c r="M147" i="5" s="1"/>
  <c r="U147" i="5" s="1"/>
  <c r="L152" i="5"/>
  <c r="N152" i="5" s="1"/>
  <c r="V152" i="5" s="1"/>
  <c r="K152" i="5"/>
  <c r="M152" i="5" s="1"/>
  <c r="U152" i="5" s="1"/>
  <c r="L155" i="5"/>
  <c r="N155" i="5" s="1"/>
  <c r="V155" i="5" s="1"/>
  <c r="K155" i="5"/>
  <c r="M155" i="5" s="1"/>
  <c r="U155" i="5" s="1"/>
  <c r="K122" i="5"/>
  <c r="M122" i="5" s="1"/>
  <c r="U122" i="5" s="1"/>
  <c r="L122" i="5"/>
  <c r="N122" i="5" s="1"/>
  <c r="V122" i="5" s="1"/>
  <c r="L136" i="5"/>
  <c r="N136" i="5" s="1"/>
  <c r="V136" i="5" s="1"/>
  <c r="K136" i="5"/>
  <c r="M136" i="5" s="1"/>
  <c r="U136" i="5" s="1"/>
  <c r="K135" i="5"/>
  <c r="M135" i="5" s="1"/>
  <c r="U135" i="5" s="1"/>
  <c r="L135" i="5"/>
  <c r="N135" i="5" s="1"/>
  <c r="V135" i="5" s="1"/>
  <c r="K150" i="5"/>
  <c r="M150" i="5" s="1"/>
  <c r="U150" i="5" s="1"/>
  <c r="L150" i="5"/>
  <c r="N150" i="5" s="1"/>
  <c r="V150" i="5" s="1"/>
  <c r="L118" i="5"/>
  <c r="N118" i="5" s="1"/>
  <c r="V118" i="5" s="1"/>
  <c r="K118" i="5"/>
  <c r="M118" i="5" s="1"/>
  <c r="U118" i="5" s="1"/>
  <c r="K134" i="5"/>
  <c r="M134" i="5" s="1"/>
  <c r="U134" i="5" s="1"/>
  <c r="L134" i="5"/>
  <c r="N134" i="5" s="1"/>
  <c r="V134" i="5" s="1"/>
  <c r="L132" i="5"/>
  <c r="N132" i="5" s="1"/>
  <c r="V132" i="5" s="1"/>
  <c r="K132" i="5"/>
  <c r="M132" i="5" s="1"/>
  <c r="U132" i="5" s="1"/>
  <c r="K117" i="5"/>
  <c r="M117" i="5" s="1"/>
  <c r="U117" i="5" s="1"/>
  <c r="L117" i="5"/>
  <c r="N117" i="5" s="1"/>
  <c r="V117" i="5" s="1"/>
  <c r="L125" i="5"/>
  <c r="N125" i="5" s="1"/>
  <c r="V125" i="5" s="1"/>
  <c r="K125" i="5"/>
  <c r="M125" i="5" s="1"/>
  <c r="U125" i="5" s="1"/>
  <c r="L133" i="5"/>
  <c r="N133" i="5" s="1"/>
  <c r="V133" i="5" s="1"/>
  <c r="K133" i="5"/>
  <c r="M133" i="5" s="1"/>
  <c r="U133" i="5" s="1"/>
  <c r="L143" i="5"/>
  <c r="N143" i="5" s="1"/>
  <c r="V143" i="5" s="1"/>
  <c r="K143" i="5"/>
  <c r="M143" i="5" s="1"/>
  <c r="U143" i="5" s="1"/>
  <c r="L148" i="5"/>
  <c r="N148" i="5" s="1"/>
  <c r="V148" i="5" s="1"/>
  <c r="K148" i="5"/>
  <c r="M148" i="5" s="1"/>
  <c r="U148" i="5" s="1"/>
  <c r="L156" i="5"/>
  <c r="N156" i="5" s="1"/>
  <c r="V156" i="5" s="1"/>
  <c r="K156" i="5"/>
  <c r="M156" i="5" s="1"/>
  <c r="U156" i="5" s="1"/>
  <c r="J278" i="5"/>
  <c r="J281" i="5"/>
  <c r="J277" i="5"/>
  <c r="J276" i="5"/>
  <c r="J273" i="5"/>
  <c r="J269" i="5"/>
  <c r="J265" i="5"/>
  <c r="J264" i="5"/>
  <c r="J270" i="5"/>
  <c r="J282" i="5"/>
  <c r="J272" i="5"/>
  <c r="J268" i="5"/>
  <c r="J283" i="5"/>
  <c r="J279" i="5"/>
  <c r="J280" i="5"/>
  <c r="J275" i="5"/>
  <c r="J271" i="5"/>
  <c r="J267" i="5"/>
  <c r="U263" i="5"/>
  <c r="R264" i="5"/>
  <c r="V263" i="5" s="1"/>
  <c r="J266" i="5"/>
  <c r="J274" i="5"/>
  <c r="P16" i="1"/>
  <c r="O264" i="6"/>
  <c r="P264" i="6" s="1"/>
  <c r="O264" i="3"/>
  <c r="P264" i="3" s="1"/>
  <c r="I16" i="1"/>
  <c r="K292" i="3" l="1"/>
  <c r="M292" i="3" s="1"/>
  <c r="U292" i="3" s="1"/>
  <c r="L292" i="3"/>
  <c r="N292" i="3" s="1"/>
  <c r="V292" i="3" s="1"/>
  <c r="K290" i="3"/>
  <c r="M290" i="3" s="1"/>
  <c r="U290" i="3" s="1"/>
  <c r="L290" i="3"/>
  <c r="N290" i="3" s="1"/>
  <c r="V290" i="3" s="1"/>
  <c r="K285" i="3"/>
  <c r="M285" i="3" s="1"/>
  <c r="U285" i="3" s="1"/>
  <c r="L285" i="3"/>
  <c r="N285" i="3" s="1"/>
  <c r="V285" i="3" s="1"/>
  <c r="K297" i="3"/>
  <c r="M297" i="3" s="1"/>
  <c r="U297" i="3" s="1"/>
  <c r="L297" i="3"/>
  <c r="N297" i="3" s="1"/>
  <c r="V297" i="3" s="1"/>
  <c r="L289" i="3"/>
  <c r="N289" i="3" s="1"/>
  <c r="V289" i="3" s="1"/>
  <c r="K289" i="3"/>
  <c r="M289" i="3" s="1"/>
  <c r="U289" i="3" s="1"/>
  <c r="L296" i="3"/>
  <c r="N296" i="3" s="1"/>
  <c r="V296" i="3" s="1"/>
  <c r="K296" i="3"/>
  <c r="M296" i="3" s="1"/>
  <c r="U296" i="3" s="1"/>
  <c r="L286" i="3"/>
  <c r="N286" i="3" s="1"/>
  <c r="V286" i="3" s="1"/>
  <c r="K286" i="3"/>
  <c r="M286" i="3" s="1"/>
  <c r="U286" i="3" s="1"/>
  <c r="L302" i="3"/>
  <c r="N302" i="3" s="1"/>
  <c r="V302" i="3" s="1"/>
  <c r="K302" i="3"/>
  <c r="M302" i="3" s="1"/>
  <c r="U302" i="3" s="1"/>
  <c r="L299" i="3"/>
  <c r="N299" i="3" s="1"/>
  <c r="V299" i="3" s="1"/>
  <c r="K299" i="3"/>
  <c r="M299" i="3" s="1"/>
  <c r="U299" i="3" s="1"/>
  <c r="L291" i="3"/>
  <c r="N291" i="3" s="1"/>
  <c r="V291" i="3" s="1"/>
  <c r="K291" i="3"/>
  <c r="M291" i="3" s="1"/>
  <c r="U291" i="3" s="1"/>
  <c r="AA285" i="3"/>
  <c r="AB285" i="3"/>
  <c r="AB243" i="3"/>
  <c r="AA243" i="3"/>
  <c r="K243" i="3"/>
  <c r="M243" i="3" s="1"/>
  <c r="U243" i="3" s="1"/>
  <c r="L243" i="3"/>
  <c r="N243" i="3" s="1"/>
  <c r="V243" i="3" s="1"/>
  <c r="L164" i="3"/>
  <c r="N164" i="3" s="1"/>
  <c r="V164" i="3" s="1"/>
  <c r="K164" i="3"/>
  <c r="M164" i="3" s="1"/>
  <c r="U164" i="3" s="1"/>
  <c r="L174" i="3"/>
  <c r="N174" i="3" s="1"/>
  <c r="V174" i="3" s="1"/>
  <c r="K174" i="3"/>
  <c r="M174" i="3" s="1"/>
  <c r="U174" i="3" s="1"/>
  <c r="L165" i="3"/>
  <c r="N165" i="3" s="1"/>
  <c r="V165" i="3" s="1"/>
  <c r="K165" i="3"/>
  <c r="M165" i="3" s="1"/>
  <c r="U165" i="3" s="1"/>
  <c r="K173" i="3"/>
  <c r="M173" i="3" s="1"/>
  <c r="U173" i="3" s="1"/>
  <c r="L173" i="3"/>
  <c r="N173" i="3" s="1"/>
  <c r="V173" i="3" s="1"/>
  <c r="K166" i="3"/>
  <c r="M166" i="3" s="1"/>
  <c r="U166" i="3" s="1"/>
  <c r="L166" i="3"/>
  <c r="N166" i="3" s="1"/>
  <c r="V166" i="3" s="1"/>
  <c r="K168" i="3"/>
  <c r="M168" i="3" s="1"/>
  <c r="U168" i="3" s="1"/>
  <c r="L168" i="3"/>
  <c r="N168" i="3" s="1"/>
  <c r="V168" i="3" s="1"/>
  <c r="L176" i="3"/>
  <c r="N176" i="3" s="1"/>
  <c r="V176" i="3" s="1"/>
  <c r="K176" i="3"/>
  <c r="M176" i="3" s="1"/>
  <c r="U176" i="3" s="1"/>
  <c r="L163" i="3"/>
  <c r="N163" i="3" s="1"/>
  <c r="V163" i="3" s="1"/>
  <c r="K163" i="3"/>
  <c r="M163" i="3" s="1"/>
  <c r="U163" i="3" s="1"/>
  <c r="L177" i="3"/>
  <c r="N177" i="3" s="1"/>
  <c r="V177" i="3" s="1"/>
  <c r="K177" i="3"/>
  <c r="M177" i="3" s="1"/>
  <c r="U177" i="3" s="1"/>
  <c r="K175" i="3"/>
  <c r="M175" i="3" s="1"/>
  <c r="U175" i="3" s="1"/>
  <c r="L175" i="3"/>
  <c r="N175" i="3" s="1"/>
  <c r="V175" i="3" s="1"/>
  <c r="K152" i="3"/>
  <c r="M152" i="3" s="1"/>
  <c r="U152" i="3" s="1"/>
  <c r="L152" i="3"/>
  <c r="N152" i="3" s="1"/>
  <c r="V152" i="3" s="1"/>
  <c r="L144" i="3"/>
  <c r="N144" i="3" s="1"/>
  <c r="V144" i="3" s="1"/>
  <c r="K144" i="3"/>
  <c r="M144" i="3" s="1"/>
  <c r="U144" i="3" s="1"/>
  <c r="L118" i="3"/>
  <c r="N118" i="3" s="1"/>
  <c r="V118" i="3" s="1"/>
  <c r="K118" i="3"/>
  <c r="M118" i="3" s="1"/>
  <c r="U118" i="3" s="1"/>
  <c r="K126" i="3"/>
  <c r="M126" i="3" s="1"/>
  <c r="U126" i="3" s="1"/>
  <c r="L126" i="3"/>
  <c r="N126" i="3" s="1"/>
  <c r="V126" i="3" s="1"/>
  <c r="K134" i="3"/>
  <c r="M134" i="3" s="1"/>
  <c r="U134" i="3" s="1"/>
  <c r="L134" i="3"/>
  <c r="N134" i="3" s="1"/>
  <c r="V134" i="3" s="1"/>
  <c r="K123" i="3"/>
  <c r="M123" i="3" s="1"/>
  <c r="U123" i="3" s="1"/>
  <c r="L123" i="3"/>
  <c r="N123" i="3" s="1"/>
  <c r="V123" i="3" s="1"/>
  <c r="L117" i="3"/>
  <c r="N117" i="3" s="1"/>
  <c r="V117" i="3" s="1"/>
  <c r="K117" i="3"/>
  <c r="M117" i="3" s="1"/>
  <c r="U117" i="3" s="1"/>
  <c r="K121" i="3"/>
  <c r="M121" i="3" s="1"/>
  <c r="U121" i="3" s="1"/>
  <c r="L121" i="3"/>
  <c r="N121" i="3" s="1"/>
  <c r="V121" i="3" s="1"/>
  <c r="L151" i="3"/>
  <c r="N151" i="3" s="1"/>
  <c r="V151" i="3" s="1"/>
  <c r="K151" i="3"/>
  <c r="M151" i="3" s="1"/>
  <c r="U151" i="3" s="1"/>
  <c r="L127" i="3"/>
  <c r="N127" i="3" s="1"/>
  <c r="V127" i="3" s="1"/>
  <c r="K127" i="3"/>
  <c r="M127" i="3" s="1"/>
  <c r="U127" i="3" s="1"/>
  <c r="K154" i="3"/>
  <c r="M154" i="3" s="1"/>
  <c r="U154" i="3" s="1"/>
  <c r="L154" i="3"/>
  <c r="N154" i="3" s="1"/>
  <c r="V154" i="3" s="1"/>
  <c r="K146" i="3"/>
  <c r="M146" i="3" s="1"/>
  <c r="U146" i="3" s="1"/>
  <c r="L146" i="3"/>
  <c r="N146" i="3" s="1"/>
  <c r="V146" i="3" s="1"/>
  <c r="L120" i="3"/>
  <c r="N120" i="3" s="1"/>
  <c r="V120" i="3" s="1"/>
  <c r="K120" i="3"/>
  <c r="M120" i="3" s="1"/>
  <c r="U120" i="3" s="1"/>
  <c r="K128" i="3"/>
  <c r="M128" i="3" s="1"/>
  <c r="U128" i="3" s="1"/>
  <c r="L128" i="3"/>
  <c r="N128" i="3" s="1"/>
  <c r="V128" i="3" s="1"/>
  <c r="L136" i="3"/>
  <c r="N136" i="3" s="1"/>
  <c r="V136" i="3" s="1"/>
  <c r="K136" i="3"/>
  <c r="M136" i="3" s="1"/>
  <c r="U136" i="3" s="1"/>
  <c r="L131" i="3"/>
  <c r="N131" i="3" s="1"/>
  <c r="V131" i="3" s="1"/>
  <c r="K131" i="3"/>
  <c r="M131" i="3" s="1"/>
  <c r="U131" i="3" s="1"/>
  <c r="K133" i="3"/>
  <c r="M133" i="3" s="1"/>
  <c r="U133" i="3" s="1"/>
  <c r="L133" i="3"/>
  <c r="N133" i="3" s="1"/>
  <c r="V133" i="3" s="1"/>
  <c r="L139" i="3"/>
  <c r="N139" i="3" s="1"/>
  <c r="V139" i="3" s="1"/>
  <c r="K139" i="3"/>
  <c r="M139" i="3" s="1"/>
  <c r="U139" i="3" s="1"/>
  <c r="L155" i="3"/>
  <c r="N155" i="3" s="1"/>
  <c r="V155" i="3" s="1"/>
  <c r="K155" i="3"/>
  <c r="M155" i="3" s="1"/>
  <c r="U155" i="3" s="1"/>
  <c r="L135" i="3"/>
  <c r="N135" i="3" s="1"/>
  <c r="V135" i="3" s="1"/>
  <c r="K135" i="3"/>
  <c r="M135" i="3" s="1"/>
  <c r="U135" i="3" s="1"/>
  <c r="K145" i="3"/>
  <c r="M145" i="3" s="1"/>
  <c r="U145" i="3" s="1"/>
  <c r="L145" i="3"/>
  <c r="N145" i="3" s="1"/>
  <c r="V145" i="3" s="1"/>
  <c r="L76" i="6"/>
  <c r="N76" i="6" s="1"/>
  <c r="V76" i="6" s="1"/>
  <c r="K76" i="6"/>
  <c r="M76" i="6" s="1"/>
  <c r="U76" i="6" s="1"/>
  <c r="K92" i="6"/>
  <c r="M92" i="6" s="1"/>
  <c r="U92" i="6" s="1"/>
  <c r="L92" i="6"/>
  <c r="N92" i="6" s="1"/>
  <c r="V92" i="6" s="1"/>
  <c r="L89" i="6"/>
  <c r="N89" i="6" s="1"/>
  <c r="V89" i="6" s="1"/>
  <c r="K89" i="6"/>
  <c r="M89" i="6" s="1"/>
  <c r="U89" i="6" s="1"/>
  <c r="L88" i="6"/>
  <c r="N88" i="6" s="1"/>
  <c r="V88" i="6" s="1"/>
  <c r="K88" i="6"/>
  <c r="M88" i="6" s="1"/>
  <c r="U88" i="6" s="1"/>
  <c r="K85" i="6"/>
  <c r="M85" i="6" s="1"/>
  <c r="U85" i="6" s="1"/>
  <c r="L85" i="6"/>
  <c r="N85" i="6" s="1"/>
  <c r="V85" i="6" s="1"/>
  <c r="K82" i="6"/>
  <c r="M82" i="6" s="1"/>
  <c r="U82" i="6" s="1"/>
  <c r="L82" i="6"/>
  <c r="N82" i="6" s="1"/>
  <c r="V82" i="6" s="1"/>
  <c r="L90" i="6"/>
  <c r="N90" i="6" s="1"/>
  <c r="V90" i="6" s="1"/>
  <c r="K90" i="6"/>
  <c r="M90" i="6" s="1"/>
  <c r="U90" i="6" s="1"/>
  <c r="K79" i="6"/>
  <c r="M79" i="6" s="1"/>
  <c r="U79" i="6" s="1"/>
  <c r="L79" i="6"/>
  <c r="N79" i="6" s="1"/>
  <c r="V79" i="6" s="1"/>
  <c r="K87" i="6"/>
  <c r="M87" i="6" s="1"/>
  <c r="U87" i="6" s="1"/>
  <c r="L87" i="6"/>
  <c r="N87" i="6" s="1"/>
  <c r="V87" i="6" s="1"/>
  <c r="L94" i="6"/>
  <c r="N94" i="6" s="1"/>
  <c r="V94" i="6" s="1"/>
  <c r="K94" i="6"/>
  <c r="M94" i="6" s="1"/>
  <c r="U94" i="6" s="1"/>
  <c r="K39" i="6"/>
  <c r="M39" i="6" s="1"/>
  <c r="U39" i="6" s="1"/>
  <c r="L39" i="6"/>
  <c r="N39" i="6" s="1"/>
  <c r="V39" i="6" s="1"/>
  <c r="L34" i="6"/>
  <c r="N34" i="6" s="1"/>
  <c r="V34" i="6" s="1"/>
  <c r="K34" i="6"/>
  <c r="M34" i="6" s="1"/>
  <c r="U34" i="6" s="1"/>
  <c r="K50" i="6"/>
  <c r="M50" i="6" s="1"/>
  <c r="U50" i="6" s="1"/>
  <c r="L50" i="6"/>
  <c r="N50" i="6" s="1"/>
  <c r="V50" i="6" s="1"/>
  <c r="L43" i="6"/>
  <c r="N43" i="6" s="1"/>
  <c r="V43" i="6" s="1"/>
  <c r="K43" i="6"/>
  <c r="M43" i="6" s="1"/>
  <c r="U43" i="6" s="1"/>
  <c r="L38" i="6"/>
  <c r="N38" i="6" s="1"/>
  <c r="V38" i="6" s="1"/>
  <c r="K38" i="6"/>
  <c r="M38" i="6" s="1"/>
  <c r="U38" i="6" s="1"/>
  <c r="K41" i="6"/>
  <c r="M41" i="6" s="1"/>
  <c r="U41" i="6" s="1"/>
  <c r="L41" i="6"/>
  <c r="N41" i="6" s="1"/>
  <c r="V41" i="6" s="1"/>
  <c r="L49" i="6"/>
  <c r="N49" i="6" s="1"/>
  <c r="V49" i="6" s="1"/>
  <c r="K49" i="6"/>
  <c r="M49" i="6" s="1"/>
  <c r="U49" i="6" s="1"/>
  <c r="L36" i="6"/>
  <c r="N36" i="6" s="1"/>
  <c r="V36" i="6" s="1"/>
  <c r="K36" i="6"/>
  <c r="M36" i="6" s="1"/>
  <c r="U36" i="6" s="1"/>
  <c r="K44" i="6"/>
  <c r="M44" i="6" s="1"/>
  <c r="U44" i="6" s="1"/>
  <c r="L44" i="6"/>
  <c r="N44" i="6" s="1"/>
  <c r="V44" i="6" s="1"/>
  <c r="K52" i="6"/>
  <c r="M52" i="6" s="1"/>
  <c r="U52" i="6" s="1"/>
  <c r="L52" i="6"/>
  <c r="N52" i="6" s="1"/>
  <c r="V52" i="6" s="1"/>
  <c r="L261" i="3"/>
  <c r="N261" i="3" s="1"/>
  <c r="V261" i="3" s="1"/>
  <c r="K261" i="3"/>
  <c r="M261" i="3" s="1"/>
  <c r="U261" i="3" s="1"/>
  <c r="K245" i="3"/>
  <c r="M245" i="3" s="1"/>
  <c r="U245" i="3" s="1"/>
  <c r="L245" i="3"/>
  <c r="N245" i="3" s="1"/>
  <c r="V245" i="3" s="1"/>
  <c r="L237" i="3"/>
  <c r="N237" i="3" s="1"/>
  <c r="V237" i="3" s="1"/>
  <c r="K237" i="3"/>
  <c r="M237" i="3" s="1"/>
  <c r="U237" i="3" s="1"/>
  <c r="K251" i="3"/>
  <c r="M251" i="3" s="1"/>
  <c r="U251" i="3" s="1"/>
  <c r="L251" i="3"/>
  <c r="N251" i="3" s="1"/>
  <c r="V251" i="3" s="1"/>
  <c r="L231" i="3"/>
  <c r="N231" i="3" s="1"/>
  <c r="V231" i="3" s="1"/>
  <c r="K231" i="3"/>
  <c r="M231" i="3" s="1"/>
  <c r="U231" i="3" s="1"/>
  <c r="K238" i="3"/>
  <c r="M238" i="3" s="1"/>
  <c r="U238" i="3" s="1"/>
  <c r="L238" i="3"/>
  <c r="N238" i="3" s="1"/>
  <c r="V238" i="3" s="1"/>
  <c r="L230" i="3"/>
  <c r="N230" i="3" s="1"/>
  <c r="V230" i="3" s="1"/>
  <c r="K230" i="3"/>
  <c r="M230" i="3" s="1"/>
  <c r="U230" i="3" s="1"/>
  <c r="L244" i="3"/>
  <c r="N244" i="3" s="1"/>
  <c r="V244" i="3" s="1"/>
  <c r="K244" i="3"/>
  <c r="M244" i="3" s="1"/>
  <c r="U244" i="3" s="1"/>
  <c r="L252" i="3"/>
  <c r="N252" i="3" s="1"/>
  <c r="V252" i="3" s="1"/>
  <c r="K252" i="3"/>
  <c r="M252" i="3" s="1"/>
  <c r="U252" i="3" s="1"/>
  <c r="L260" i="3"/>
  <c r="N260" i="3" s="1"/>
  <c r="V260" i="3" s="1"/>
  <c r="K260" i="3"/>
  <c r="M260" i="3" s="1"/>
  <c r="U260" i="3" s="1"/>
  <c r="L249" i="3"/>
  <c r="N249" i="3" s="1"/>
  <c r="V249" i="3" s="1"/>
  <c r="K249" i="3"/>
  <c r="M249" i="3" s="1"/>
  <c r="U249" i="3" s="1"/>
  <c r="L233" i="3"/>
  <c r="N233" i="3" s="1"/>
  <c r="V233" i="3" s="1"/>
  <c r="K233" i="3"/>
  <c r="M233" i="3" s="1"/>
  <c r="U233" i="3" s="1"/>
  <c r="K255" i="3"/>
  <c r="M255" i="3" s="1"/>
  <c r="U255" i="3" s="1"/>
  <c r="L255" i="3"/>
  <c r="N255" i="3" s="1"/>
  <c r="V255" i="3" s="1"/>
  <c r="K227" i="3"/>
  <c r="M227" i="3" s="1"/>
  <c r="U227" i="3" s="1"/>
  <c r="L227" i="3"/>
  <c r="N227" i="3" s="1"/>
  <c r="V227" i="3" s="1"/>
  <c r="L240" i="3"/>
  <c r="N240" i="3" s="1"/>
  <c r="V240" i="3" s="1"/>
  <c r="K240" i="3"/>
  <c r="M240" i="3" s="1"/>
  <c r="U240" i="3" s="1"/>
  <c r="L232" i="3"/>
  <c r="N232" i="3" s="1"/>
  <c r="V232" i="3" s="1"/>
  <c r="K232" i="3"/>
  <c r="M232" i="3" s="1"/>
  <c r="U232" i="3" s="1"/>
  <c r="K224" i="3"/>
  <c r="M224" i="3" s="1"/>
  <c r="U224" i="3" s="1"/>
  <c r="L224" i="3"/>
  <c r="N224" i="3" s="1"/>
  <c r="V224" i="3" s="1"/>
  <c r="K250" i="3"/>
  <c r="M250" i="3" s="1"/>
  <c r="U250" i="3" s="1"/>
  <c r="L250" i="3"/>
  <c r="N250" i="3" s="1"/>
  <c r="V250" i="3" s="1"/>
  <c r="L258" i="3"/>
  <c r="N258" i="3" s="1"/>
  <c r="V258" i="3" s="1"/>
  <c r="K258" i="3"/>
  <c r="M258" i="3" s="1"/>
  <c r="U258" i="3" s="1"/>
  <c r="AA222" i="3"/>
  <c r="AB222" i="3"/>
  <c r="K103" i="3"/>
  <c r="M103" i="3" s="1"/>
  <c r="U103" i="3" s="1"/>
  <c r="L103" i="3"/>
  <c r="N103" i="3" s="1"/>
  <c r="V103" i="3" s="1"/>
  <c r="L111" i="3"/>
  <c r="N111" i="3" s="1"/>
  <c r="V111" i="3" s="1"/>
  <c r="K111" i="3"/>
  <c r="M111" i="3" s="1"/>
  <c r="U111" i="3" s="1"/>
  <c r="K98" i="3"/>
  <c r="M98" i="3" s="1"/>
  <c r="U98" i="3" s="1"/>
  <c r="L98" i="3"/>
  <c r="N98" i="3" s="1"/>
  <c r="V98" i="3" s="1"/>
  <c r="L106" i="3"/>
  <c r="N106" i="3" s="1"/>
  <c r="V106" i="3" s="1"/>
  <c r="K106" i="3"/>
  <c r="M106" i="3" s="1"/>
  <c r="U106" i="3" s="1"/>
  <c r="L114" i="3"/>
  <c r="N114" i="3" s="1"/>
  <c r="V114" i="3" s="1"/>
  <c r="K114" i="3"/>
  <c r="M114" i="3" s="1"/>
  <c r="U114" i="3" s="1"/>
  <c r="L97" i="3"/>
  <c r="N97" i="3" s="1"/>
  <c r="V97" i="3" s="1"/>
  <c r="K97" i="3"/>
  <c r="M97" i="3" s="1"/>
  <c r="U97" i="3" s="1"/>
  <c r="L105" i="3"/>
  <c r="N105" i="3" s="1"/>
  <c r="V105" i="3" s="1"/>
  <c r="K105" i="3"/>
  <c r="M105" i="3" s="1"/>
  <c r="U105" i="3" s="1"/>
  <c r="L113" i="3"/>
  <c r="N113" i="3" s="1"/>
  <c r="V113" i="3" s="1"/>
  <c r="K113" i="3"/>
  <c r="M113" i="3" s="1"/>
  <c r="U113" i="3" s="1"/>
  <c r="L100" i="3"/>
  <c r="N100" i="3" s="1"/>
  <c r="V100" i="3" s="1"/>
  <c r="K100" i="3"/>
  <c r="M100" i="3" s="1"/>
  <c r="U100" i="3" s="1"/>
  <c r="K108" i="3"/>
  <c r="M108" i="3" s="1"/>
  <c r="U108" i="3" s="1"/>
  <c r="L108" i="3"/>
  <c r="N108" i="3" s="1"/>
  <c r="V108" i="3" s="1"/>
  <c r="K96" i="3"/>
  <c r="M96" i="3" s="1"/>
  <c r="U96" i="3" s="1"/>
  <c r="L96" i="3"/>
  <c r="N96" i="3" s="1"/>
  <c r="V96" i="3" s="1"/>
  <c r="L55" i="3"/>
  <c r="N55" i="3" s="1"/>
  <c r="V55" i="3" s="1"/>
  <c r="K55" i="3"/>
  <c r="M55" i="3" s="1"/>
  <c r="U55" i="3" s="1"/>
  <c r="L67" i="3"/>
  <c r="N67" i="3" s="1"/>
  <c r="V67" i="3" s="1"/>
  <c r="K67" i="3"/>
  <c r="M67" i="3" s="1"/>
  <c r="U67" i="3" s="1"/>
  <c r="L57" i="3"/>
  <c r="N57" i="3" s="1"/>
  <c r="V57" i="3" s="1"/>
  <c r="K57" i="3"/>
  <c r="M57" i="3" s="1"/>
  <c r="U57" i="3" s="1"/>
  <c r="L65" i="3"/>
  <c r="N65" i="3" s="1"/>
  <c r="V65" i="3" s="1"/>
  <c r="K65" i="3"/>
  <c r="M65" i="3" s="1"/>
  <c r="U65" i="3" s="1"/>
  <c r="L73" i="3"/>
  <c r="N73" i="3" s="1"/>
  <c r="V73" i="3" s="1"/>
  <c r="K73" i="3"/>
  <c r="M73" i="3" s="1"/>
  <c r="U73" i="3" s="1"/>
  <c r="L68" i="3"/>
  <c r="N68" i="3" s="1"/>
  <c r="V68" i="3" s="1"/>
  <c r="K68" i="3"/>
  <c r="M68" i="3" s="1"/>
  <c r="U68" i="3" s="1"/>
  <c r="K66" i="3"/>
  <c r="M66" i="3" s="1"/>
  <c r="U66" i="3" s="1"/>
  <c r="L66" i="3"/>
  <c r="N66" i="3" s="1"/>
  <c r="V66" i="3" s="1"/>
  <c r="L63" i="3"/>
  <c r="N63" i="3" s="1"/>
  <c r="V63" i="3" s="1"/>
  <c r="K63" i="3"/>
  <c r="M63" i="3" s="1"/>
  <c r="U63" i="3" s="1"/>
  <c r="L64" i="3"/>
  <c r="N64" i="3" s="1"/>
  <c r="V64" i="3" s="1"/>
  <c r="K64" i="3"/>
  <c r="M64" i="3" s="1"/>
  <c r="U64" i="3" s="1"/>
  <c r="K62" i="3"/>
  <c r="M62" i="3" s="1"/>
  <c r="U62" i="3" s="1"/>
  <c r="L62" i="3"/>
  <c r="N62" i="3" s="1"/>
  <c r="V62" i="3" s="1"/>
  <c r="L25" i="6"/>
  <c r="N25" i="6" s="1"/>
  <c r="V25" i="6" s="1"/>
  <c r="K25" i="6"/>
  <c r="M25" i="6" s="1"/>
  <c r="U25" i="6" s="1"/>
  <c r="L18" i="6"/>
  <c r="N18" i="6" s="1"/>
  <c r="V18" i="6" s="1"/>
  <c r="K18" i="6"/>
  <c r="M18" i="6" s="1"/>
  <c r="U18" i="6" s="1"/>
  <c r="K19" i="6"/>
  <c r="M19" i="6" s="1"/>
  <c r="U19" i="6" s="1"/>
  <c r="L19" i="6"/>
  <c r="N19" i="6" s="1"/>
  <c r="V19" i="6" s="1"/>
  <c r="K29" i="6"/>
  <c r="M29" i="6" s="1"/>
  <c r="U29" i="6" s="1"/>
  <c r="L29" i="6"/>
  <c r="N29" i="6" s="1"/>
  <c r="V29" i="6" s="1"/>
  <c r="K22" i="6"/>
  <c r="M22" i="6" s="1"/>
  <c r="U22" i="6" s="1"/>
  <c r="L22" i="6"/>
  <c r="N22" i="6" s="1"/>
  <c r="V22" i="6" s="1"/>
  <c r="K15" i="6"/>
  <c r="M15" i="6" s="1"/>
  <c r="U15" i="6" s="1"/>
  <c r="L15" i="6"/>
  <c r="N15" i="6" s="1"/>
  <c r="V15" i="6" s="1"/>
  <c r="K13" i="6"/>
  <c r="M13" i="6" s="1"/>
  <c r="U13" i="6" s="1"/>
  <c r="L13" i="6"/>
  <c r="N13" i="6" s="1"/>
  <c r="V13" i="6" s="1"/>
  <c r="L27" i="6"/>
  <c r="N27" i="6" s="1"/>
  <c r="V27" i="6" s="1"/>
  <c r="K27" i="6"/>
  <c r="M27" i="6" s="1"/>
  <c r="U27" i="6" s="1"/>
  <c r="L20" i="6"/>
  <c r="N20" i="6" s="1"/>
  <c r="V20" i="6" s="1"/>
  <c r="K20" i="6"/>
  <c r="M20" i="6" s="1"/>
  <c r="U20" i="6" s="1"/>
  <c r="K28" i="6"/>
  <c r="M28" i="6" s="1"/>
  <c r="U28" i="6" s="1"/>
  <c r="L28" i="6"/>
  <c r="N28" i="6" s="1"/>
  <c r="V28" i="6" s="1"/>
  <c r="K289" i="6"/>
  <c r="M289" i="6" s="1"/>
  <c r="U289" i="6" s="1"/>
  <c r="L289" i="6"/>
  <c r="N289" i="6" s="1"/>
  <c r="V289" i="6" s="1"/>
  <c r="K290" i="6"/>
  <c r="M290" i="6" s="1"/>
  <c r="U290" i="6" s="1"/>
  <c r="L290" i="6"/>
  <c r="N290" i="6" s="1"/>
  <c r="V290" i="6" s="1"/>
  <c r="K299" i="6"/>
  <c r="M299" i="6" s="1"/>
  <c r="U299" i="6" s="1"/>
  <c r="L299" i="6"/>
  <c r="N299" i="6" s="1"/>
  <c r="V299" i="6" s="1"/>
  <c r="L296" i="6"/>
  <c r="N296" i="6" s="1"/>
  <c r="V296" i="6" s="1"/>
  <c r="K296" i="6"/>
  <c r="M296" i="6" s="1"/>
  <c r="U296" i="6" s="1"/>
  <c r="K304" i="6"/>
  <c r="M304" i="6" s="1"/>
  <c r="U304" i="6" s="1"/>
  <c r="L304" i="6"/>
  <c r="N304" i="6" s="1"/>
  <c r="V304" i="6" s="1"/>
  <c r="L287" i="6"/>
  <c r="N287" i="6" s="1"/>
  <c r="V287" i="6" s="1"/>
  <c r="K287" i="6"/>
  <c r="M287" i="6" s="1"/>
  <c r="U287" i="6" s="1"/>
  <c r="K292" i="6"/>
  <c r="M292" i="6" s="1"/>
  <c r="U292" i="6" s="1"/>
  <c r="L292" i="6"/>
  <c r="N292" i="6" s="1"/>
  <c r="V292" i="6" s="1"/>
  <c r="K301" i="6"/>
  <c r="M301" i="6" s="1"/>
  <c r="U301" i="6" s="1"/>
  <c r="L301" i="6"/>
  <c r="N301" i="6" s="1"/>
  <c r="V301" i="6" s="1"/>
  <c r="K298" i="6"/>
  <c r="M298" i="6" s="1"/>
  <c r="U298" i="6" s="1"/>
  <c r="L298" i="6"/>
  <c r="N298" i="6" s="1"/>
  <c r="V298" i="6" s="1"/>
  <c r="K163" i="6"/>
  <c r="M163" i="6" s="1"/>
  <c r="U163" i="6" s="1"/>
  <c r="L163" i="6"/>
  <c r="N163" i="6" s="1"/>
  <c r="V163" i="6" s="1"/>
  <c r="K171" i="6"/>
  <c r="M171" i="6" s="1"/>
  <c r="U171" i="6" s="1"/>
  <c r="L171" i="6"/>
  <c r="N171" i="6" s="1"/>
  <c r="V171" i="6" s="1"/>
  <c r="K166" i="6"/>
  <c r="M166" i="6" s="1"/>
  <c r="U166" i="6" s="1"/>
  <c r="L166" i="6"/>
  <c r="N166" i="6" s="1"/>
  <c r="V166" i="6" s="1"/>
  <c r="L174" i="6"/>
  <c r="N174" i="6" s="1"/>
  <c r="V174" i="6" s="1"/>
  <c r="K174" i="6"/>
  <c r="M174" i="6" s="1"/>
  <c r="U174" i="6" s="1"/>
  <c r="L161" i="6"/>
  <c r="N161" i="6" s="1"/>
  <c r="V161" i="6" s="1"/>
  <c r="K161" i="6"/>
  <c r="M161" i="6" s="1"/>
  <c r="U161" i="6" s="1"/>
  <c r="K169" i="6"/>
  <c r="M169" i="6" s="1"/>
  <c r="U169" i="6" s="1"/>
  <c r="L169" i="6"/>
  <c r="N169" i="6" s="1"/>
  <c r="V169" i="6" s="1"/>
  <c r="K177" i="6"/>
  <c r="M177" i="6" s="1"/>
  <c r="U177" i="6" s="1"/>
  <c r="L177" i="6"/>
  <c r="N177" i="6" s="1"/>
  <c r="V177" i="6" s="1"/>
  <c r="L164" i="6"/>
  <c r="N164" i="6" s="1"/>
  <c r="V164" i="6" s="1"/>
  <c r="K164" i="6"/>
  <c r="M164" i="6" s="1"/>
  <c r="U164" i="6" s="1"/>
  <c r="K172" i="6"/>
  <c r="M172" i="6" s="1"/>
  <c r="U172" i="6" s="1"/>
  <c r="L172" i="6"/>
  <c r="N172" i="6" s="1"/>
  <c r="V172" i="6" s="1"/>
  <c r="L178" i="6"/>
  <c r="N178" i="6" s="1"/>
  <c r="V178" i="6" s="1"/>
  <c r="K178" i="6"/>
  <c r="M178" i="6" s="1"/>
  <c r="U178" i="6" s="1"/>
  <c r="K129" i="6"/>
  <c r="M129" i="6" s="1"/>
  <c r="U129" i="6" s="1"/>
  <c r="L129" i="6"/>
  <c r="N129" i="6" s="1"/>
  <c r="V129" i="6" s="1"/>
  <c r="K147" i="6"/>
  <c r="M147" i="6" s="1"/>
  <c r="U147" i="6" s="1"/>
  <c r="L147" i="6"/>
  <c r="N147" i="6" s="1"/>
  <c r="V147" i="6" s="1"/>
  <c r="L126" i="6"/>
  <c r="N126" i="6" s="1"/>
  <c r="V126" i="6" s="1"/>
  <c r="K126" i="6"/>
  <c r="M126" i="6" s="1"/>
  <c r="U126" i="6" s="1"/>
  <c r="K144" i="6"/>
  <c r="M144" i="6" s="1"/>
  <c r="U144" i="6" s="1"/>
  <c r="L144" i="6"/>
  <c r="N144" i="6" s="1"/>
  <c r="V144" i="6" s="1"/>
  <c r="L154" i="6"/>
  <c r="N154" i="6" s="1"/>
  <c r="V154" i="6" s="1"/>
  <c r="K154" i="6"/>
  <c r="M154" i="6" s="1"/>
  <c r="U154" i="6" s="1"/>
  <c r="L125" i="6"/>
  <c r="N125" i="6" s="1"/>
  <c r="V125" i="6" s="1"/>
  <c r="K125" i="6"/>
  <c r="M125" i="6" s="1"/>
  <c r="U125" i="6" s="1"/>
  <c r="K143" i="6"/>
  <c r="M143" i="6" s="1"/>
  <c r="U143" i="6" s="1"/>
  <c r="L143" i="6"/>
  <c r="N143" i="6" s="1"/>
  <c r="V143" i="6" s="1"/>
  <c r="L122" i="6"/>
  <c r="N122" i="6" s="1"/>
  <c r="V122" i="6" s="1"/>
  <c r="K122" i="6"/>
  <c r="M122" i="6" s="1"/>
  <c r="U122" i="6" s="1"/>
  <c r="L140" i="6"/>
  <c r="N140" i="6" s="1"/>
  <c r="V140" i="6" s="1"/>
  <c r="K140" i="6"/>
  <c r="M140" i="6" s="1"/>
  <c r="U140" i="6" s="1"/>
  <c r="K157" i="6"/>
  <c r="M157" i="6" s="1"/>
  <c r="U157" i="6" s="1"/>
  <c r="L157" i="6"/>
  <c r="N157" i="6" s="1"/>
  <c r="V157" i="6" s="1"/>
  <c r="K123" i="6"/>
  <c r="M123" i="6" s="1"/>
  <c r="U123" i="6" s="1"/>
  <c r="L123" i="6"/>
  <c r="N123" i="6" s="1"/>
  <c r="V123" i="6" s="1"/>
  <c r="L131" i="6"/>
  <c r="N131" i="6" s="1"/>
  <c r="V131" i="6" s="1"/>
  <c r="K131" i="6"/>
  <c r="M131" i="6" s="1"/>
  <c r="U131" i="6" s="1"/>
  <c r="K141" i="6"/>
  <c r="M141" i="6" s="1"/>
  <c r="U141" i="6" s="1"/>
  <c r="L141" i="6"/>
  <c r="N141" i="6" s="1"/>
  <c r="V141" i="6" s="1"/>
  <c r="L149" i="6"/>
  <c r="N149" i="6" s="1"/>
  <c r="V149" i="6" s="1"/>
  <c r="K149" i="6"/>
  <c r="M149" i="6" s="1"/>
  <c r="U149" i="6" s="1"/>
  <c r="L120" i="6"/>
  <c r="N120" i="6" s="1"/>
  <c r="V120" i="6" s="1"/>
  <c r="K120" i="6"/>
  <c r="M120" i="6" s="1"/>
  <c r="U120" i="6" s="1"/>
  <c r="K128" i="6"/>
  <c r="M128" i="6" s="1"/>
  <c r="U128" i="6" s="1"/>
  <c r="L128" i="6"/>
  <c r="N128" i="6" s="1"/>
  <c r="V128" i="6" s="1"/>
  <c r="L136" i="6"/>
  <c r="N136" i="6" s="1"/>
  <c r="V136" i="6" s="1"/>
  <c r="K136" i="6"/>
  <c r="M136" i="6" s="1"/>
  <c r="U136" i="6" s="1"/>
  <c r="L146" i="6"/>
  <c r="N146" i="6" s="1"/>
  <c r="V146" i="6" s="1"/>
  <c r="K146" i="6"/>
  <c r="M146" i="6" s="1"/>
  <c r="U146" i="6" s="1"/>
  <c r="K155" i="6"/>
  <c r="M155" i="6" s="1"/>
  <c r="U155" i="6" s="1"/>
  <c r="L155" i="6"/>
  <c r="N155" i="6" s="1"/>
  <c r="V155" i="6" s="1"/>
  <c r="L156" i="6"/>
  <c r="N156" i="6" s="1"/>
  <c r="V156" i="6" s="1"/>
  <c r="K156" i="6"/>
  <c r="M156" i="6" s="1"/>
  <c r="U156" i="6" s="1"/>
  <c r="L90" i="3"/>
  <c r="N90" i="3" s="1"/>
  <c r="V90" i="3" s="1"/>
  <c r="K90" i="3"/>
  <c r="M90" i="3" s="1"/>
  <c r="U90" i="3" s="1"/>
  <c r="L82" i="3"/>
  <c r="N82" i="3" s="1"/>
  <c r="V82" i="3" s="1"/>
  <c r="K82" i="3"/>
  <c r="M82" i="3" s="1"/>
  <c r="U82" i="3" s="1"/>
  <c r="L75" i="3"/>
  <c r="N75" i="3" s="1"/>
  <c r="V75" i="3" s="1"/>
  <c r="K75" i="3"/>
  <c r="M75" i="3" s="1"/>
  <c r="U75" i="3" s="1"/>
  <c r="K87" i="3"/>
  <c r="M87" i="3" s="1"/>
  <c r="U87" i="3" s="1"/>
  <c r="L87" i="3"/>
  <c r="N87" i="3" s="1"/>
  <c r="V87" i="3" s="1"/>
  <c r="K79" i="3"/>
  <c r="M79" i="3" s="1"/>
  <c r="U79" i="3" s="1"/>
  <c r="L79" i="3"/>
  <c r="N79" i="3" s="1"/>
  <c r="V79" i="3" s="1"/>
  <c r="K92" i="3"/>
  <c r="M92" i="3" s="1"/>
  <c r="U92" i="3" s="1"/>
  <c r="L92" i="3"/>
  <c r="N92" i="3" s="1"/>
  <c r="V92" i="3" s="1"/>
  <c r="K84" i="3"/>
  <c r="M84" i="3" s="1"/>
  <c r="U84" i="3" s="1"/>
  <c r="L84" i="3"/>
  <c r="N84" i="3" s="1"/>
  <c r="V84" i="3" s="1"/>
  <c r="K76" i="3"/>
  <c r="M76" i="3" s="1"/>
  <c r="U76" i="3" s="1"/>
  <c r="L76" i="3"/>
  <c r="N76" i="3" s="1"/>
  <c r="V76" i="3" s="1"/>
  <c r="L89" i="3"/>
  <c r="N89" i="3" s="1"/>
  <c r="V89" i="3" s="1"/>
  <c r="K89" i="3"/>
  <c r="M89" i="3" s="1"/>
  <c r="U89" i="3" s="1"/>
  <c r="K81" i="3"/>
  <c r="M81" i="3" s="1"/>
  <c r="U81" i="3" s="1"/>
  <c r="L81" i="3"/>
  <c r="N81" i="3" s="1"/>
  <c r="V81" i="3" s="1"/>
  <c r="K94" i="3"/>
  <c r="M94" i="3" s="1"/>
  <c r="U94" i="3" s="1"/>
  <c r="L94" i="3"/>
  <c r="N94" i="3" s="1"/>
  <c r="V94" i="3" s="1"/>
  <c r="L35" i="3"/>
  <c r="N35" i="3" s="1"/>
  <c r="V35" i="3" s="1"/>
  <c r="K35" i="3"/>
  <c r="M35" i="3" s="1"/>
  <c r="U35" i="3" s="1"/>
  <c r="L34" i="3"/>
  <c r="N34" i="3" s="1"/>
  <c r="V34" i="3" s="1"/>
  <c r="K34" i="3"/>
  <c r="M34" i="3" s="1"/>
  <c r="U34" i="3" s="1"/>
  <c r="L51" i="3"/>
  <c r="N51" i="3" s="1"/>
  <c r="V51" i="3" s="1"/>
  <c r="K51" i="3"/>
  <c r="M51" i="3" s="1"/>
  <c r="U51" i="3" s="1"/>
  <c r="K50" i="3"/>
  <c r="M50" i="3" s="1"/>
  <c r="U50" i="3" s="1"/>
  <c r="L50" i="3"/>
  <c r="N50" i="3" s="1"/>
  <c r="V50" i="3" s="1"/>
  <c r="L38" i="3"/>
  <c r="N38" i="3" s="1"/>
  <c r="V38" i="3" s="1"/>
  <c r="K38" i="3"/>
  <c r="M38" i="3" s="1"/>
  <c r="U38" i="3" s="1"/>
  <c r="L45" i="3"/>
  <c r="N45" i="3" s="1"/>
  <c r="V45" i="3" s="1"/>
  <c r="K45" i="3"/>
  <c r="M45" i="3" s="1"/>
  <c r="U45" i="3" s="1"/>
  <c r="L47" i="3"/>
  <c r="N47" i="3" s="1"/>
  <c r="V47" i="3" s="1"/>
  <c r="K47" i="3"/>
  <c r="M47" i="3" s="1"/>
  <c r="U47" i="3" s="1"/>
  <c r="L52" i="3"/>
  <c r="N52" i="3" s="1"/>
  <c r="V52" i="3" s="1"/>
  <c r="K52" i="3"/>
  <c r="M52" i="3" s="1"/>
  <c r="U52" i="3" s="1"/>
  <c r="L44" i="3"/>
  <c r="N44" i="3" s="1"/>
  <c r="V44" i="3" s="1"/>
  <c r="K44" i="3"/>
  <c r="M44" i="3" s="1"/>
  <c r="U44" i="3" s="1"/>
  <c r="L36" i="3"/>
  <c r="N36" i="3" s="1"/>
  <c r="V36" i="3" s="1"/>
  <c r="K36" i="3"/>
  <c r="M36" i="3" s="1"/>
  <c r="U36" i="3" s="1"/>
  <c r="K228" i="6"/>
  <c r="M228" i="6" s="1"/>
  <c r="U228" i="6" s="1"/>
  <c r="L228" i="6"/>
  <c r="N228" i="6" s="1"/>
  <c r="V228" i="6" s="1"/>
  <c r="K236" i="6"/>
  <c r="M236" i="6" s="1"/>
  <c r="U236" i="6" s="1"/>
  <c r="L236" i="6"/>
  <c r="N236" i="6" s="1"/>
  <c r="V236" i="6" s="1"/>
  <c r="L229" i="6"/>
  <c r="N229" i="6" s="1"/>
  <c r="V229" i="6" s="1"/>
  <c r="K229" i="6"/>
  <c r="M229" i="6" s="1"/>
  <c r="U229" i="6" s="1"/>
  <c r="K237" i="6"/>
  <c r="M237" i="6" s="1"/>
  <c r="U237" i="6" s="1"/>
  <c r="L237" i="6"/>
  <c r="N237" i="6" s="1"/>
  <c r="V237" i="6" s="1"/>
  <c r="L245" i="6"/>
  <c r="N245" i="6" s="1"/>
  <c r="V245" i="6" s="1"/>
  <c r="K245" i="6"/>
  <c r="M245" i="6" s="1"/>
  <c r="U245" i="6" s="1"/>
  <c r="K253" i="6"/>
  <c r="M253" i="6" s="1"/>
  <c r="U253" i="6" s="1"/>
  <c r="L253" i="6"/>
  <c r="N253" i="6" s="1"/>
  <c r="V253" i="6" s="1"/>
  <c r="L261" i="6"/>
  <c r="N261" i="6" s="1"/>
  <c r="V261" i="6" s="1"/>
  <c r="K261" i="6"/>
  <c r="M261" i="6" s="1"/>
  <c r="U261" i="6" s="1"/>
  <c r="L254" i="6"/>
  <c r="N254" i="6" s="1"/>
  <c r="V254" i="6" s="1"/>
  <c r="K254" i="6"/>
  <c r="M254" i="6" s="1"/>
  <c r="U254" i="6" s="1"/>
  <c r="K262" i="6"/>
  <c r="M262" i="6" s="1"/>
  <c r="U262" i="6" s="1"/>
  <c r="L262" i="6"/>
  <c r="N262" i="6" s="1"/>
  <c r="V262" i="6" s="1"/>
  <c r="L222" i="6"/>
  <c r="N222" i="6" s="1"/>
  <c r="V222" i="6" s="1"/>
  <c r="K222" i="6"/>
  <c r="M222" i="6" s="1"/>
  <c r="U222" i="6" s="1"/>
  <c r="K230" i="6"/>
  <c r="M230" i="6" s="1"/>
  <c r="U230" i="6" s="1"/>
  <c r="L230" i="6"/>
  <c r="N230" i="6" s="1"/>
  <c r="V230" i="6" s="1"/>
  <c r="K238" i="6"/>
  <c r="M238" i="6" s="1"/>
  <c r="U238" i="6" s="1"/>
  <c r="L238" i="6"/>
  <c r="N238" i="6" s="1"/>
  <c r="V238" i="6" s="1"/>
  <c r="L223" i="6"/>
  <c r="N223" i="6" s="1"/>
  <c r="V223" i="6" s="1"/>
  <c r="K223" i="6"/>
  <c r="M223" i="6" s="1"/>
  <c r="U223" i="6" s="1"/>
  <c r="K231" i="6"/>
  <c r="M231" i="6" s="1"/>
  <c r="U231" i="6" s="1"/>
  <c r="L231" i="6"/>
  <c r="N231" i="6" s="1"/>
  <c r="V231" i="6" s="1"/>
  <c r="K239" i="6"/>
  <c r="M239" i="6" s="1"/>
  <c r="U239" i="6" s="1"/>
  <c r="L239" i="6"/>
  <c r="N239" i="6" s="1"/>
  <c r="V239" i="6" s="1"/>
  <c r="L247" i="6"/>
  <c r="N247" i="6" s="1"/>
  <c r="V247" i="6" s="1"/>
  <c r="K247" i="6"/>
  <c r="M247" i="6" s="1"/>
  <c r="U247" i="6" s="1"/>
  <c r="L255" i="6"/>
  <c r="N255" i="6" s="1"/>
  <c r="V255" i="6" s="1"/>
  <c r="K255" i="6"/>
  <c r="M255" i="6" s="1"/>
  <c r="U255" i="6" s="1"/>
  <c r="K248" i="6"/>
  <c r="M248" i="6" s="1"/>
  <c r="U248" i="6" s="1"/>
  <c r="L248" i="6"/>
  <c r="N248" i="6" s="1"/>
  <c r="V248" i="6" s="1"/>
  <c r="L256" i="6"/>
  <c r="N256" i="6" s="1"/>
  <c r="V256" i="6" s="1"/>
  <c r="K256" i="6"/>
  <c r="M256" i="6" s="1"/>
  <c r="U256" i="6" s="1"/>
  <c r="K97" i="6"/>
  <c r="M97" i="6" s="1"/>
  <c r="U97" i="6" s="1"/>
  <c r="L97" i="6"/>
  <c r="N97" i="6" s="1"/>
  <c r="V97" i="6" s="1"/>
  <c r="K113" i="6"/>
  <c r="M113" i="6" s="1"/>
  <c r="U113" i="6" s="1"/>
  <c r="L113" i="6"/>
  <c r="N113" i="6" s="1"/>
  <c r="V113" i="6" s="1"/>
  <c r="L106" i="6"/>
  <c r="N106" i="6" s="1"/>
  <c r="V106" i="6" s="1"/>
  <c r="K106" i="6"/>
  <c r="M106" i="6" s="1"/>
  <c r="U106" i="6" s="1"/>
  <c r="K101" i="6"/>
  <c r="M101" i="6" s="1"/>
  <c r="U101" i="6" s="1"/>
  <c r="L101" i="6"/>
  <c r="N101" i="6" s="1"/>
  <c r="V101" i="6" s="1"/>
  <c r="K96" i="6"/>
  <c r="M96" i="6" s="1"/>
  <c r="U96" i="6" s="1"/>
  <c r="L96" i="6"/>
  <c r="N96" i="6" s="1"/>
  <c r="V96" i="6" s="1"/>
  <c r="K110" i="6"/>
  <c r="M110" i="6" s="1"/>
  <c r="U110" i="6" s="1"/>
  <c r="L110" i="6"/>
  <c r="N110" i="6" s="1"/>
  <c r="V110" i="6" s="1"/>
  <c r="K99" i="6"/>
  <c r="M99" i="6" s="1"/>
  <c r="U99" i="6" s="1"/>
  <c r="L99" i="6"/>
  <c r="N99" i="6" s="1"/>
  <c r="V99" i="6" s="1"/>
  <c r="L107" i="6"/>
  <c r="N107" i="6" s="1"/>
  <c r="V107" i="6" s="1"/>
  <c r="K107" i="6"/>
  <c r="M107" i="6" s="1"/>
  <c r="U107" i="6" s="1"/>
  <c r="L115" i="6"/>
  <c r="N115" i="6" s="1"/>
  <c r="V115" i="6" s="1"/>
  <c r="K115" i="6"/>
  <c r="M115" i="6" s="1"/>
  <c r="U115" i="6" s="1"/>
  <c r="K100" i="6"/>
  <c r="M100" i="6" s="1"/>
  <c r="U100" i="6" s="1"/>
  <c r="L100" i="6"/>
  <c r="N100" i="6" s="1"/>
  <c r="V100" i="6" s="1"/>
  <c r="K108" i="6"/>
  <c r="M108" i="6" s="1"/>
  <c r="U108" i="6" s="1"/>
  <c r="L108" i="6"/>
  <c r="N108" i="6" s="1"/>
  <c r="V108" i="6" s="1"/>
  <c r="K57" i="6"/>
  <c r="M57" i="6" s="1"/>
  <c r="U57" i="6" s="1"/>
  <c r="L57" i="6"/>
  <c r="N57" i="6" s="1"/>
  <c r="V57" i="6" s="1"/>
  <c r="K59" i="6"/>
  <c r="M59" i="6" s="1"/>
  <c r="U59" i="6" s="1"/>
  <c r="L59" i="6"/>
  <c r="N59" i="6" s="1"/>
  <c r="V59" i="6" s="1"/>
  <c r="K68" i="6"/>
  <c r="M68" i="6" s="1"/>
  <c r="U68" i="6" s="1"/>
  <c r="L68" i="6"/>
  <c r="N68" i="6" s="1"/>
  <c r="V68" i="6" s="1"/>
  <c r="K65" i="6"/>
  <c r="M65" i="6" s="1"/>
  <c r="U65" i="6" s="1"/>
  <c r="L65" i="6"/>
  <c r="N65" i="6" s="1"/>
  <c r="V65" i="6" s="1"/>
  <c r="K67" i="6"/>
  <c r="M67" i="6" s="1"/>
  <c r="U67" i="6" s="1"/>
  <c r="L67" i="6"/>
  <c r="N67" i="6" s="1"/>
  <c r="V67" i="6" s="1"/>
  <c r="L72" i="6"/>
  <c r="N72" i="6" s="1"/>
  <c r="V72" i="6" s="1"/>
  <c r="K72" i="6"/>
  <c r="M72" i="6" s="1"/>
  <c r="U72" i="6" s="1"/>
  <c r="L61" i="6"/>
  <c r="N61" i="6" s="1"/>
  <c r="V61" i="6" s="1"/>
  <c r="K61" i="6"/>
  <c r="M61" i="6" s="1"/>
  <c r="U61" i="6" s="1"/>
  <c r="K63" i="6"/>
  <c r="M63" i="6" s="1"/>
  <c r="U63" i="6" s="1"/>
  <c r="L63" i="6"/>
  <c r="N63" i="6" s="1"/>
  <c r="V63" i="6" s="1"/>
  <c r="L62" i="6"/>
  <c r="N62" i="6" s="1"/>
  <c r="V62" i="6" s="1"/>
  <c r="K62" i="6"/>
  <c r="M62" i="6" s="1"/>
  <c r="U62" i="6" s="1"/>
  <c r="L70" i="6"/>
  <c r="N70" i="6" s="1"/>
  <c r="V70" i="6" s="1"/>
  <c r="K70" i="6"/>
  <c r="M70" i="6" s="1"/>
  <c r="U70" i="6" s="1"/>
  <c r="K24" i="3"/>
  <c r="M24" i="3" s="1"/>
  <c r="U24" i="3" s="1"/>
  <c r="L24" i="3"/>
  <c r="N24" i="3" s="1"/>
  <c r="V24" i="3" s="1"/>
  <c r="L31" i="3"/>
  <c r="N31" i="3" s="1"/>
  <c r="V31" i="3" s="1"/>
  <c r="K31" i="3"/>
  <c r="M31" i="3" s="1"/>
  <c r="U31" i="3" s="1"/>
  <c r="L23" i="3"/>
  <c r="N23" i="3" s="1"/>
  <c r="V23" i="3" s="1"/>
  <c r="K23" i="3"/>
  <c r="M23" i="3" s="1"/>
  <c r="U23" i="3" s="1"/>
  <c r="L26" i="3"/>
  <c r="N26" i="3" s="1"/>
  <c r="V26" i="3" s="1"/>
  <c r="K26" i="3"/>
  <c r="M26" i="3" s="1"/>
  <c r="U26" i="3" s="1"/>
  <c r="K18" i="3"/>
  <c r="M18" i="3" s="1"/>
  <c r="U18" i="3" s="1"/>
  <c r="L18" i="3"/>
  <c r="N18" i="3" s="1"/>
  <c r="V18" i="3" s="1"/>
  <c r="K29" i="3"/>
  <c r="M29" i="3" s="1"/>
  <c r="U29" i="3" s="1"/>
  <c r="L29" i="3"/>
  <c r="N29" i="3" s="1"/>
  <c r="V29" i="3" s="1"/>
  <c r="L21" i="3"/>
  <c r="N21" i="3" s="1"/>
  <c r="V21" i="3" s="1"/>
  <c r="K21" i="3"/>
  <c r="M21" i="3" s="1"/>
  <c r="U21" i="3" s="1"/>
  <c r="L13" i="3"/>
  <c r="N13" i="3" s="1"/>
  <c r="V13" i="3" s="1"/>
  <c r="K13" i="3"/>
  <c r="M13" i="3" s="1"/>
  <c r="U13" i="3" s="1"/>
  <c r="L16" i="3"/>
  <c r="N16" i="3" s="1"/>
  <c r="V16" i="3" s="1"/>
  <c r="K16" i="3"/>
  <c r="M16" i="3" s="1"/>
  <c r="U16" i="3" s="1"/>
  <c r="L300" i="3"/>
  <c r="N300" i="3" s="1"/>
  <c r="V300" i="3" s="1"/>
  <c r="K300" i="3"/>
  <c r="M300" i="3" s="1"/>
  <c r="U300" i="3" s="1"/>
  <c r="L298" i="3"/>
  <c r="N298" i="3" s="1"/>
  <c r="V298" i="3" s="1"/>
  <c r="K298" i="3"/>
  <c r="M298" i="3" s="1"/>
  <c r="U298" i="3" s="1"/>
  <c r="K301" i="3"/>
  <c r="M301" i="3" s="1"/>
  <c r="U301" i="3" s="1"/>
  <c r="L301" i="3"/>
  <c r="N301" i="3" s="1"/>
  <c r="V301" i="3" s="1"/>
  <c r="K293" i="3"/>
  <c r="M293" i="3" s="1"/>
  <c r="U293" i="3" s="1"/>
  <c r="L293" i="3"/>
  <c r="N293" i="3" s="1"/>
  <c r="V293" i="3" s="1"/>
  <c r="K288" i="3"/>
  <c r="M288" i="3" s="1"/>
  <c r="U288" i="3" s="1"/>
  <c r="L288" i="3"/>
  <c r="N288" i="3" s="1"/>
  <c r="V288" i="3" s="1"/>
  <c r="L304" i="3"/>
  <c r="N304" i="3" s="1"/>
  <c r="V304" i="3" s="1"/>
  <c r="K304" i="3"/>
  <c r="M304" i="3" s="1"/>
  <c r="U304" i="3" s="1"/>
  <c r="L294" i="3"/>
  <c r="N294" i="3" s="1"/>
  <c r="V294" i="3" s="1"/>
  <c r="K294" i="3"/>
  <c r="M294" i="3" s="1"/>
  <c r="U294" i="3" s="1"/>
  <c r="L303" i="3"/>
  <c r="N303" i="3" s="1"/>
  <c r="V303" i="3" s="1"/>
  <c r="K303" i="3"/>
  <c r="M303" i="3" s="1"/>
  <c r="U303" i="3" s="1"/>
  <c r="L295" i="3"/>
  <c r="N295" i="3" s="1"/>
  <c r="V295" i="3" s="1"/>
  <c r="K295" i="3"/>
  <c r="M295" i="3" s="1"/>
  <c r="U295" i="3" s="1"/>
  <c r="K287" i="3"/>
  <c r="M287" i="3" s="1"/>
  <c r="U287" i="3" s="1"/>
  <c r="L287" i="3"/>
  <c r="N287" i="3" s="1"/>
  <c r="V287" i="3" s="1"/>
  <c r="L170" i="3"/>
  <c r="N170" i="3" s="1"/>
  <c r="V170" i="3" s="1"/>
  <c r="K170" i="3"/>
  <c r="M170" i="3" s="1"/>
  <c r="U170" i="3" s="1"/>
  <c r="L178" i="3"/>
  <c r="N178" i="3" s="1"/>
  <c r="V178" i="3" s="1"/>
  <c r="K178" i="3"/>
  <c r="M178" i="3" s="1"/>
  <c r="U178" i="3" s="1"/>
  <c r="K161" i="3"/>
  <c r="M161" i="3" s="1"/>
  <c r="U161" i="3" s="1"/>
  <c r="L161" i="3"/>
  <c r="N161" i="3" s="1"/>
  <c r="V161" i="3" s="1"/>
  <c r="K171" i="3"/>
  <c r="M171" i="3" s="1"/>
  <c r="U171" i="3" s="1"/>
  <c r="L171" i="3"/>
  <c r="N171" i="3" s="1"/>
  <c r="V171" i="3" s="1"/>
  <c r="L162" i="3"/>
  <c r="N162" i="3" s="1"/>
  <c r="V162" i="3" s="1"/>
  <c r="K162" i="3"/>
  <c r="M162" i="3" s="1"/>
  <c r="U162" i="3" s="1"/>
  <c r="K160" i="3"/>
  <c r="M160" i="3" s="1"/>
  <c r="U160" i="3" s="1"/>
  <c r="L160" i="3"/>
  <c r="N160" i="3" s="1"/>
  <c r="V160" i="3" s="1"/>
  <c r="K172" i="3"/>
  <c r="M172" i="3" s="1"/>
  <c r="U172" i="3" s="1"/>
  <c r="L172" i="3"/>
  <c r="N172" i="3" s="1"/>
  <c r="V172" i="3" s="1"/>
  <c r="L167" i="3"/>
  <c r="N167" i="3" s="1"/>
  <c r="V167" i="3" s="1"/>
  <c r="K167" i="3"/>
  <c r="M167" i="3" s="1"/>
  <c r="U167" i="3" s="1"/>
  <c r="L169" i="3"/>
  <c r="N169" i="3" s="1"/>
  <c r="V169" i="3" s="1"/>
  <c r="K169" i="3"/>
  <c r="M169" i="3" s="1"/>
  <c r="U169" i="3" s="1"/>
  <c r="K159" i="3"/>
  <c r="M159" i="3" s="1"/>
  <c r="U159" i="3" s="1"/>
  <c r="L159" i="3"/>
  <c r="N159" i="3" s="1"/>
  <c r="V159" i="3" s="1"/>
  <c r="AB159" i="3"/>
  <c r="AA159" i="3"/>
  <c r="K148" i="3"/>
  <c r="M148" i="3" s="1"/>
  <c r="U148" i="3" s="1"/>
  <c r="L148" i="3"/>
  <c r="N148" i="3" s="1"/>
  <c r="V148" i="3" s="1"/>
  <c r="L140" i="3"/>
  <c r="N140" i="3" s="1"/>
  <c r="V140" i="3" s="1"/>
  <c r="K140" i="3"/>
  <c r="M140" i="3" s="1"/>
  <c r="U140" i="3" s="1"/>
  <c r="L122" i="3"/>
  <c r="N122" i="3" s="1"/>
  <c r="V122" i="3" s="1"/>
  <c r="K122" i="3"/>
  <c r="M122" i="3" s="1"/>
  <c r="U122" i="3" s="1"/>
  <c r="K130" i="3"/>
  <c r="M130" i="3" s="1"/>
  <c r="U130" i="3" s="1"/>
  <c r="L130" i="3"/>
  <c r="N130" i="3" s="1"/>
  <c r="V130" i="3" s="1"/>
  <c r="L149" i="3"/>
  <c r="N149" i="3" s="1"/>
  <c r="V149" i="3" s="1"/>
  <c r="K149" i="3"/>
  <c r="M149" i="3" s="1"/>
  <c r="U149" i="3" s="1"/>
  <c r="K153" i="3"/>
  <c r="M153" i="3" s="1"/>
  <c r="U153" i="3" s="1"/>
  <c r="L153" i="3"/>
  <c r="N153" i="3" s="1"/>
  <c r="V153" i="3" s="1"/>
  <c r="K129" i="3"/>
  <c r="M129" i="3" s="1"/>
  <c r="U129" i="3" s="1"/>
  <c r="L129" i="3"/>
  <c r="N129" i="3" s="1"/>
  <c r="V129" i="3" s="1"/>
  <c r="K143" i="3"/>
  <c r="M143" i="3" s="1"/>
  <c r="U143" i="3" s="1"/>
  <c r="L143" i="3"/>
  <c r="N143" i="3" s="1"/>
  <c r="V143" i="3" s="1"/>
  <c r="K156" i="3"/>
  <c r="M156" i="3" s="1"/>
  <c r="U156" i="3" s="1"/>
  <c r="L156" i="3"/>
  <c r="N156" i="3" s="1"/>
  <c r="V156" i="3" s="1"/>
  <c r="L150" i="3"/>
  <c r="N150" i="3" s="1"/>
  <c r="V150" i="3" s="1"/>
  <c r="K150" i="3"/>
  <c r="M150" i="3" s="1"/>
  <c r="U150" i="3" s="1"/>
  <c r="L142" i="3"/>
  <c r="N142" i="3" s="1"/>
  <c r="V142" i="3" s="1"/>
  <c r="K142" i="3"/>
  <c r="M142" i="3" s="1"/>
  <c r="U142" i="3" s="1"/>
  <c r="L124" i="3"/>
  <c r="N124" i="3" s="1"/>
  <c r="V124" i="3" s="1"/>
  <c r="K124" i="3"/>
  <c r="M124" i="3" s="1"/>
  <c r="U124" i="3" s="1"/>
  <c r="L132" i="3"/>
  <c r="N132" i="3" s="1"/>
  <c r="V132" i="3" s="1"/>
  <c r="K132" i="3"/>
  <c r="M132" i="3" s="1"/>
  <c r="U132" i="3" s="1"/>
  <c r="K141" i="3"/>
  <c r="M141" i="3" s="1"/>
  <c r="U141" i="3" s="1"/>
  <c r="L141" i="3"/>
  <c r="N141" i="3" s="1"/>
  <c r="V141" i="3" s="1"/>
  <c r="K157" i="3"/>
  <c r="M157" i="3" s="1"/>
  <c r="U157" i="3" s="1"/>
  <c r="L157" i="3"/>
  <c r="N157" i="3" s="1"/>
  <c r="V157" i="3" s="1"/>
  <c r="L125" i="3"/>
  <c r="N125" i="3" s="1"/>
  <c r="V125" i="3" s="1"/>
  <c r="K125" i="3"/>
  <c r="M125" i="3" s="1"/>
  <c r="U125" i="3" s="1"/>
  <c r="L147" i="3"/>
  <c r="N147" i="3" s="1"/>
  <c r="V147" i="3" s="1"/>
  <c r="K147" i="3"/>
  <c r="M147" i="3" s="1"/>
  <c r="U147" i="3" s="1"/>
  <c r="L119" i="3"/>
  <c r="N119" i="3" s="1"/>
  <c r="V119" i="3" s="1"/>
  <c r="K119" i="3"/>
  <c r="M119" i="3" s="1"/>
  <c r="U119" i="3" s="1"/>
  <c r="K84" i="6"/>
  <c r="M84" i="6" s="1"/>
  <c r="U84" i="6" s="1"/>
  <c r="L84" i="6"/>
  <c r="N84" i="6" s="1"/>
  <c r="V84" i="6" s="1"/>
  <c r="K81" i="6"/>
  <c r="M81" i="6" s="1"/>
  <c r="U81" i="6" s="1"/>
  <c r="L81" i="6"/>
  <c r="N81" i="6" s="1"/>
  <c r="V81" i="6" s="1"/>
  <c r="K80" i="6"/>
  <c r="M80" i="6" s="1"/>
  <c r="U80" i="6" s="1"/>
  <c r="L80" i="6"/>
  <c r="N80" i="6" s="1"/>
  <c r="V80" i="6" s="1"/>
  <c r="L77" i="6"/>
  <c r="N77" i="6" s="1"/>
  <c r="V77" i="6" s="1"/>
  <c r="K77" i="6"/>
  <c r="M77" i="6" s="1"/>
  <c r="U77" i="6" s="1"/>
  <c r="K93" i="6"/>
  <c r="M93" i="6" s="1"/>
  <c r="U93" i="6" s="1"/>
  <c r="L93" i="6"/>
  <c r="N93" i="6" s="1"/>
  <c r="V93" i="6" s="1"/>
  <c r="K78" i="6"/>
  <c r="M78" i="6" s="1"/>
  <c r="U78" i="6" s="1"/>
  <c r="L78" i="6"/>
  <c r="N78" i="6" s="1"/>
  <c r="V78" i="6" s="1"/>
  <c r="K86" i="6"/>
  <c r="M86" i="6" s="1"/>
  <c r="U86" i="6" s="1"/>
  <c r="L86" i="6"/>
  <c r="N86" i="6" s="1"/>
  <c r="V86" i="6" s="1"/>
  <c r="K75" i="6"/>
  <c r="M75" i="6" s="1"/>
  <c r="U75" i="6" s="1"/>
  <c r="L75" i="6"/>
  <c r="N75" i="6" s="1"/>
  <c r="V75" i="6" s="1"/>
  <c r="L83" i="6"/>
  <c r="N83" i="6" s="1"/>
  <c r="V83" i="6" s="1"/>
  <c r="K83" i="6"/>
  <c r="M83" i="6" s="1"/>
  <c r="U83" i="6" s="1"/>
  <c r="K91" i="6"/>
  <c r="M91" i="6" s="1"/>
  <c r="U91" i="6" s="1"/>
  <c r="L91" i="6"/>
  <c r="N91" i="6" s="1"/>
  <c r="V91" i="6" s="1"/>
  <c r="L33" i="6"/>
  <c r="N33" i="6" s="1"/>
  <c r="V33" i="6" s="1"/>
  <c r="K33" i="6"/>
  <c r="M33" i="6" s="1"/>
  <c r="U33" i="6" s="1"/>
  <c r="K47" i="6"/>
  <c r="M47" i="6" s="1"/>
  <c r="U47" i="6" s="1"/>
  <c r="L47" i="6"/>
  <c r="N47" i="6" s="1"/>
  <c r="V47" i="6" s="1"/>
  <c r="K42" i="6"/>
  <c r="M42" i="6" s="1"/>
  <c r="U42" i="6" s="1"/>
  <c r="L42" i="6"/>
  <c r="N42" i="6" s="1"/>
  <c r="V42" i="6" s="1"/>
  <c r="L35" i="6"/>
  <c r="N35" i="6" s="1"/>
  <c r="V35" i="6" s="1"/>
  <c r="K35" i="6"/>
  <c r="M35" i="6" s="1"/>
  <c r="U35" i="6" s="1"/>
  <c r="K51" i="6"/>
  <c r="M51" i="6" s="1"/>
  <c r="U51" i="6" s="1"/>
  <c r="L51" i="6"/>
  <c r="N51" i="6" s="1"/>
  <c r="V51" i="6" s="1"/>
  <c r="K46" i="6"/>
  <c r="M46" i="6" s="1"/>
  <c r="U46" i="6" s="1"/>
  <c r="L46" i="6"/>
  <c r="N46" i="6" s="1"/>
  <c r="V46" i="6" s="1"/>
  <c r="L37" i="6"/>
  <c r="N37" i="6" s="1"/>
  <c r="V37" i="6" s="1"/>
  <c r="K37" i="6"/>
  <c r="M37" i="6" s="1"/>
  <c r="U37" i="6" s="1"/>
  <c r="K45" i="6"/>
  <c r="M45" i="6" s="1"/>
  <c r="U45" i="6" s="1"/>
  <c r="L45" i="6"/>
  <c r="N45" i="6" s="1"/>
  <c r="V45" i="6" s="1"/>
  <c r="K40" i="6"/>
  <c r="M40" i="6" s="1"/>
  <c r="U40" i="6" s="1"/>
  <c r="L40" i="6"/>
  <c r="N40" i="6" s="1"/>
  <c r="V40" i="6" s="1"/>
  <c r="L48" i="6"/>
  <c r="N48" i="6" s="1"/>
  <c r="V48" i="6" s="1"/>
  <c r="K48" i="6"/>
  <c r="M48" i="6" s="1"/>
  <c r="U48" i="6" s="1"/>
  <c r="L235" i="3"/>
  <c r="N235" i="3" s="1"/>
  <c r="V235" i="3" s="1"/>
  <c r="K235" i="3"/>
  <c r="M235" i="3" s="1"/>
  <c r="U235" i="3" s="1"/>
  <c r="L253" i="3"/>
  <c r="N253" i="3" s="1"/>
  <c r="V253" i="3" s="1"/>
  <c r="K253" i="3"/>
  <c r="M253" i="3" s="1"/>
  <c r="U253" i="3" s="1"/>
  <c r="K229" i="3"/>
  <c r="M229" i="3" s="1"/>
  <c r="U229" i="3" s="1"/>
  <c r="L229" i="3"/>
  <c r="N229" i="3" s="1"/>
  <c r="V229" i="3" s="1"/>
  <c r="K259" i="3"/>
  <c r="M259" i="3" s="1"/>
  <c r="U259" i="3" s="1"/>
  <c r="L259" i="3"/>
  <c r="N259" i="3" s="1"/>
  <c r="V259" i="3" s="1"/>
  <c r="L223" i="3"/>
  <c r="N223" i="3" s="1"/>
  <c r="V223" i="3" s="1"/>
  <c r="K223" i="3"/>
  <c r="M223" i="3" s="1"/>
  <c r="U223" i="3" s="1"/>
  <c r="K222" i="3"/>
  <c r="M222" i="3" s="1"/>
  <c r="U222" i="3" s="1"/>
  <c r="L222" i="3"/>
  <c r="N222" i="3" s="1"/>
  <c r="V222" i="3" s="1"/>
  <c r="K234" i="3"/>
  <c r="M234" i="3" s="1"/>
  <c r="U234" i="3" s="1"/>
  <c r="L234" i="3"/>
  <c r="N234" i="3" s="1"/>
  <c r="V234" i="3" s="1"/>
  <c r="L226" i="3"/>
  <c r="N226" i="3" s="1"/>
  <c r="V226" i="3" s="1"/>
  <c r="K226" i="3"/>
  <c r="M226" i="3" s="1"/>
  <c r="U226" i="3" s="1"/>
  <c r="K248" i="3"/>
  <c r="M248" i="3" s="1"/>
  <c r="U248" i="3" s="1"/>
  <c r="L248" i="3"/>
  <c r="N248" i="3" s="1"/>
  <c r="V248" i="3" s="1"/>
  <c r="L256" i="3"/>
  <c r="N256" i="3" s="1"/>
  <c r="V256" i="3" s="1"/>
  <c r="K256" i="3"/>
  <c r="M256" i="3" s="1"/>
  <c r="U256" i="3" s="1"/>
  <c r="L257" i="3"/>
  <c r="N257" i="3" s="1"/>
  <c r="V257" i="3" s="1"/>
  <c r="K257" i="3"/>
  <c r="M257" i="3" s="1"/>
  <c r="U257" i="3" s="1"/>
  <c r="K225" i="3"/>
  <c r="M225" i="3" s="1"/>
  <c r="U225" i="3" s="1"/>
  <c r="L225" i="3"/>
  <c r="N225" i="3" s="1"/>
  <c r="V225" i="3" s="1"/>
  <c r="L241" i="3"/>
  <c r="N241" i="3" s="1"/>
  <c r="V241" i="3" s="1"/>
  <c r="K241" i="3"/>
  <c r="M241" i="3" s="1"/>
  <c r="U241" i="3" s="1"/>
  <c r="L247" i="3"/>
  <c r="N247" i="3" s="1"/>
  <c r="V247" i="3" s="1"/>
  <c r="K247" i="3"/>
  <c r="M247" i="3" s="1"/>
  <c r="U247" i="3" s="1"/>
  <c r="L239" i="3"/>
  <c r="N239" i="3" s="1"/>
  <c r="V239" i="3" s="1"/>
  <c r="K239" i="3"/>
  <c r="M239" i="3" s="1"/>
  <c r="U239" i="3" s="1"/>
  <c r="L236" i="3"/>
  <c r="N236" i="3" s="1"/>
  <c r="V236" i="3" s="1"/>
  <c r="K236" i="3"/>
  <c r="M236" i="3" s="1"/>
  <c r="U236" i="3" s="1"/>
  <c r="L228" i="3"/>
  <c r="N228" i="3" s="1"/>
  <c r="V228" i="3" s="1"/>
  <c r="K228" i="3"/>
  <c r="M228" i="3" s="1"/>
  <c r="U228" i="3" s="1"/>
  <c r="K246" i="3"/>
  <c r="M246" i="3" s="1"/>
  <c r="U246" i="3" s="1"/>
  <c r="L246" i="3"/>
  <c r="N246" i="3" s="1"/>
  <c r="V246" i="3" s="1"/>
  <c r="L254" i="3"/>
  <c r="N254" i="3" s="1"/>
  <c r="V254" i="3" s="1"/>
  <c r="K254" i="3"/>
  <c r="M254" i="3" s="1"/>
  <c r="U254" i="3" s="1"/>
  <c r="L262" i="3"/>
  <c r="N262" i="3" s="1"/>
  <c r="V262" i="3" s="1"/>
  <c r="K262" i="3"/>
  <c r="M262" i="3" s="1"/>
  <c r="U262" i="3" s="1"/>
  <c r="S243" i="3" s="1"/>
  <c r="L138" i="6"/>
  <c r="N138" i="6" s="1"/>
  <c r="V138" i="6" s="1"/>
  <c r="K138" i="6"/>
  <c r="M138" i="6" s="1"/>
  <c r="U138" i="6" s="1"/>
  <c r="S138" i="6" s="1"/>
  <c r="K99" i="3"/>
  <c r="M99" i="3" s="1"/>
  <c r="U99" i="3" s="1"/>
  <c r="L99" i="3"/>
  <c r="N99" i="3" s="1"/>
  <c r="V99" i="3" s="1"/>
  <c r="L107" i="3"/>
  <c r="N107" i="3" s="1"/>
  <c r="V107" i="3" s="1"/>
  <c r="K107" i="3"/>
  <c r="M107" i="3" s="1"/>
  <c r="U107" i="3" s="1"/>
  <c r="L115" i="3"/>
  <c r="N115" i="3" s="1"/>
  <c r="V115" i="3" s="1"/>
  <c r="K115" i="3"/>
  <c r="M115" i="3" s="1"/>
  <c r="U115" i="3" s="1"/>
  <c r="L102" i="3"/>
  <c r="N102" i="3" s="1"/>
  <c r="V102" i="3" s="1"/>
  <c r="K102" i="3"/>
  <c r="M102" i="3" s="1"/>
  <c r="U102" i="3" s="1"/>
  <c r="L110" i="3"/>
  <c r="N110" i="3" s="1"/>
  <c r="V110" i="3" s="1"/>
  <c r="K110" i="3"/>
  <c r="M110" i="3" s="1"/>
  <c r="U110" i="3" s="1"/>
  <c r="K101" i="3"/>
  <c r="M101" i="3" s="1"/>
  <c r="U101" i="3" s="1"/>
  <c r="L101" i="3"/>
  <c r="N101" i="3" s="1"/>
  <c r="V101" i="3" s="1"/>
  <c r="L109" i="3"/>
  <c r="N109" i="3" s="1"/>
  <c r="V109" i="3" s="1"/>
  <c r="K109" i="3"/>
  <c r="M109" i="3" s="1"/>
  <c r="U109" i="3" s="1"/>
  <c r="K104" i="3"/>
  <c r="M104" i="3" s="1"/>
  <c r="U104" i="3" s="1"/>
  <c r="L104" i="3"/>
  <c r="N104" i="3" s="1"/>
  <c r="V104" i="3" s="1"/>
  <c r="K112" i="3"/>
  <c r="M112" i="3" s="1"/>
  <c r="U112" i="3" s="1"/>
  <c r="L112" i="3"/>
  <c r="N112" i="3" s="1"/>
  <c r="V112" i="3" s="1"/>
  <c r="L59" i="3"/>
  <c r="N59" i="3" s="1"/>
  <c r="V59" i="3" s="1"/>
  <c r="K59" i="3"/>
  <c r="M59" i="3" s="1"/>
  <c r="U59" i="3" s="1"/>
  <c r="L71" i="3"/>
  <c r="N71" i="3" s="1"/>
  <c r="V71" i="3" s="1"/>
  <c r="K71" i="3"/>
  <c r="M71" i="3" s="1"/>
  <c r="U71" i="3" s="1"/>
  <c r="K61" i="3"/>
  <c r="M61" i="3" s="1"/>
  <c r="U61" i="3" s="1"/>
  <c r="L61" i="3"/>
  <c r="N61" i="3" s="1"/>
  <c r="V61" i="3" s="1"/>
  <c r="L69" i="3"/>
  <c r="N69" i="3" s="1"/>
  <c r="V69" i="3" s="1"/>
  <c r="K69" i="3"/>
  <c r="M69" i="3" s="1"/>
  <c r="U69" i="3" s="1"/>
  <c r="L60" i="3"/>
  <c r="N60" i="3" s="1"/>
  <c r="V60" i="3" s="1"/>
  <c r="K60" i="3"/>
  <c r="M60" i="3" s="1"/>
  <c r="U60" i="3" s="1"/>
  <c r="K58" i="3"/>
  <c r="M58" i="3" s="1"/>
  <c r="U58" i="3" s="1"/>
  <c r="L58" i="3"/>
  <c r="N58" i="3" s="1"/>
  <c r="V58" i="3" s="1"/>
  <c r="L54" i="3"/>
  <c r="N54" i="3" s="1"/>
  <c r="V54" i="3" s="1"/>
  <c r="K54" i="3"/>
  <c r="M54" i="3" s="1"/>
  <c r="U54" i="3" s="1"/>
  <c r="K72" i="3"/>
  <c r="M72" i="3" s="1"/>
  <c r="U72" i="3" s="1"/>
  <c r="L72" i="3"/>
  <c r="N72" i="3" s="1"/>
  <c r="V72" i="3" s="1"/>
  <c r="L70" i="3"/>
  <c r="N70" i="3" s="1"/>
  <c r="V70" i="3" s="1"/>
  <c r="K70" i="3"/>
  <c r="M70" i="3" s="1"/>
  <c r="U70" i="3" s="1"/>
  <c r="K56" i="3"/>
  <c r="M56" i="3" s="1"/>
  <c r="U56" i="3" s="1"/>
  <c r="L56" i="3"/>
  <c r="N56" i="3" s="1"/>
  <c r="V56" i="3" s="1"/>
  <c r="L12" i="6"/>
  <c r="N12" i="6" s="1"/>
  <c r="V12" i="6" s="1"/>
  <c r="K12" i="6"/>
  <c r="M12" i="6" s="1"/>
  <c r="U12" i="6" s="1"/>
  <c r="K26" i="6"/>
  <c r="M26" i="6" s="1"/>
  <c r="U26" i="6" s="1"/>
  <c r="L26" i="6"/>
  <c r="N26" i="6" s="1"/>
  <c r="V26" i="6" s="1"/>
  <c r="L17" i="6"/>
  <c r="N17" i="6" s="1"/>
  <c r="V17" i="6" s="1"/>
  <c r="K17" i="6"/>
  <c r="M17" i="6" s="1"/>
  <c r="U17" i="6" s="1"/>
  <c r="L14" i="6"/>
  <c r="N14" i="6" s="1"/>
  <c r="V14" i="6" s="1"/>
  <c r="K14" i="6"/>
  <c r="M14" i="6" s="1"/>
  <c r="U14" i="6" s="1"/>
  <c r="K30" i="6"/>
  <c r="M30" i="6" s="1"/>
  <c r="U30" i="6" s="1"/>
  <c r="L30" i="6"/>
  <c r="N30" i="6" s="1"/>
  <c r="V30" i="6" s="1"/>
  <c r="K23" i="6"/>
  <c r="M23" i="6" s="1"/>
  <c r="U23" i="6" s="1"/>
  <c r="L23" i="6"/>
  <c r="N23" i="6" s="1"/>
  <c r="V23" i="6" s="1"/>
  <c r="L21" i="6"/>
  <c r="N21" i="6" s="1"/>
  <c r="V21" i="6" s="1"/>
  <c r="K21" i="6"/>
  <c r="M21" i="6" s="1"/>
  <c r="U21" i="6" s="1"/>
  <c r="K31" i="6"/>
  <c r="M31" i="6" s="1"/>
  <c r="U31" i="6" s="1"/>
  <c r="L31" i="6"/>
  <c r="N31" i="6" s="1"/>
  <c r="V31" i="6" s="1"/>
  <c r="K16" i="6"/>
  <c r="M16" i="6" s="1"/>
  <c r="U16" i="6" s="1"/>
  <c r="L16" i="6"/>
  <c r="N16" i="6" s="1"/>
  <c r="V16" i="6" s="1"/>
  <c r="L24" i="6"/>
  <c r="N24" i="6" s="1"/>
  <c r="V24" i="6" s="1"/>
  <c r="K24" i="6"/>
  <c r="M24" i="6" s="1"/>
  <c r="U24" i="6" s="1"/>
  <c r="K286" i="6"/>
  <c r="M286" i="6" s="1"/>
  <c r="U286" i="6" s="1"/>
  <c r="L286" i="6"/>
  <c r="N286" i="6" s="1"/>
  <c r="V286" i="6" s="1"/>
  <c r="L293" i="6"/>
  <c r="N293" i="6" s="1"/>
  <c r="V293" i="6" s="1"/>
  <c r="K293" i="6"/>
  <c r="M293" i="6" s="1"/>
  <c r="U293" i="6" s="1"/>
  <c r="L295" i="6"/>
  <c r="N295" i="6" s="1"/>
  <c r="V295" i="6" s="1"/>
  <c r="K295" i="6"/>
  <c r="M295" i="6" s="1"/>
  <c r="U295" i="6" s="1"/>
  <c r="K303" i="6"/>
  <c r="M303" i="6" s="1"/>
  <c r="U303" i="6" s="1"/>
  <c r="L303" i="6"/>
  <c r="N303" i="6" s="1"/>
  <c r="V303" i="6" s="1"/>
  <c r="K300" i="6"/>
  <c r="M300" i="6" s="1"/>
  <c r="U300" i="6" s="1"/>
  <c r="L300" i="6"/>
  <c r="N300" i="6" s="1"/>
  <c r="V300" i="6" s="1"/>
  <c r="L285" i="6"/>
  <c r="N285" i="6" s="1"/>
  <c r="V285" i="6" s="1"/>
  <c r="K285" i="6"/>
  <c r="M285" i="6" s="1"/>
  <c r="U285" i="6" s="1"/>
  <c r="K291" i="6"/>
  <c r="M291" i="6" s="1"/>
  <c r="U291" i="6" s="1"/>
  <c r="L291" i="6"/>
  <c r="N291" i="6" s="1"/>
  <c r="V291" i="6" s="1"/>
  <c r="K288" i="6"/>
  <c r="M288" i="6" s="1"/>
  <c r="U288" i="6" s="1"/>
  <c r="L288" i="6"/>
  <c r="N288" i="6" s="1"/>
  <c r="V288" i="6" s="1"/>
  <c r="K297" i="6"/>
  <c r="M297" i="6" s="1"/>
  <c r="U297" i="6" s="1"/>
  <c r="L297" i="6"/>
  <c r="N297" i="6" s="1"/>
  <c r="V297" i="6" s="1"/>
  <c r="K294" i="6"/>
  <c r="M294" i="6" s="1"/>
  <c r="U294" i="6" s="1"/>
  <c r="L294" i="6"/>
  <c r="N294" i="6" s="1"/>
  <c r="V294" i="6" s="1"/>
  <c r="K302" i="6"/>
  <c r="M302" i="6" s="1"/>
  <c r="U302" i="6" s="1"/>
  <c r="L302" i="6"/>
  <c r="N302" i="6" s="1"/>
  <c r="V302" i="6" s="1"/>
  <c r="L243" i="6"/>
  <c r="N243" i="6" s="1"/>
  <c r="V243" i="6" s="1"/>
  <c r="K243" i="6"/>
  <c r="M243" i="6" s="1"/>
  <c r="U243" i="6" s="1"/>
  <c r="L167" i="6"/>
  <c r="N167" i="6" s="1"/>
  <c r="V167" i="6" s="1"/>
  <c r="K167" i="6"/>
  <c r="M167" i="6" s="1"/>
  <c r="U167" i="6" s="1"/>
  <c r="L175" i="6"/>
  <c r="N175" i="6" s="1"/>
  <c r="V175" i="6" s="1"/>
  <c r="K175" i="6"/>
  <c r="M175" i="6" s="1"/>
  <c r="U175" i="6" s="1"/>
  <c r="L162" i="6"/>
  <c r="N162" i="6" s="1"/>
  <c r="V162" i="6" s="1"/>
  <c r="K162" i="6"/>
  <c r="M162" i="6" s="1"/>
  <c r="U162" i="6" s="1"/>
  <c r="K170" i="6"/>
  <c r="M170" i="6" s="1"/>
  <c r="U170" i="6" s="1"/>
  <c r="L170" i="6"/>
  <c r="N170" i="6" s="1"/>
  <c r="V170" i="6" s="1"/>
  <c r="L159" i="6"/>
  <c r="N159" i="6" s="1"/>
  <c r="V159" i="6" s="1"/>
  <c r="K159" i="6"/>
  <c r="M159" i="6" s="1"/>
  <c r="U159" i="6" s="1"/>
  <c r="L165" i="6"/>
  <c r="N165" i="6" s="1"/>
  <c r="V165" i="6" s="1"/>
  <c r="K165" i="6"/>
  <c r="M165" i="6" s="1"/>
  <c r="U165" i="6" s="1"/>
  <c r="K173" i="6"/>
  <c r="M173" i="6" s="1"/>
  <c r="U173" i="6" s="1"/>
  <c r="L173" i="6"/>
  <c r="N173" i="6" s="1"/>
  <c r="V173" i="6" s="1"/>
  <c r="L160" i="6"/>
  <c r="N160" i="6" s="1"/>
  <c r="V160" i="6" s="1"/>
  <c r="K160" i="6"/>
  <c r="M160" i="6" s="1"/>
  <c r="U160" i="6" s="1"/>
  <c r="K168" i="6"/>
  <c r="M168" i="6" s="1"/>
  <c r="U168" i="6" s="1"/>
  <c r="L168" i="6"/>
  <c r="N168" i="6" s="1"/>
  <c r="V168" i="6" s="1"/>
  <c r="L176" i="6"/>
  <c r="N176" i="6" s="1"/>
  <c r="V176" i="6" s="1"/>
  <c r="K176" i="6"/>
  <c r="M176" i="6" s="1"/>
  <c r="U176" i="6" s="1"/>
  <c r="L121" i="6"/>
  <c r="N121" i="6" s="1"/>
  <c r="V121" i="6" s="1"/>
  <c r="K121" i="6"/>
  <c r="M121" i="6" s="1"/>
  <c r="U121" i="6" s="1"/>
  <c r="K139" i="6"/>
  <c r="M139" i="6" s="1"/>
  <c r="U139" i="6" s="1"/>
  <c r="L139" i="6"/>
  <c r="N139" i="6" s="1"/>
  <c r="V139" i="6" s="1"/>
  <c r="L118" i="6"/>
  <c r="N118" i="6" s="1"/>
  <c r="V118" i="6" s="1"/>
  <c r="K118" i="6"/>
  <c r="M118" i="6" s="1"/>
  <c r="U118" i="6" s="1"/>
  <c r="K134" i="6"/>
  <c r="M134" i="6" s="1"/>
  <c r="U134" i="6" s="1"/>
  <c r="L134" i="6"/>
  <c r="N134" i="6" s="1"/>
  <c r="V134" i="6" s="1"/>
  <c r="K153" i="6"/>
  <c r="M153" i="6" s="1"/>
  <c r="U153" i="6" s="1"/>
  <c r="L153" i="6"/>
  <c r="N153" i="6" s="1"/>
  <c r="V153" i="6" s="1"/>
  <c r="L117" i="6"/>
  <c r="N117" i="6" s="1"/>
  <c r="V117" i="6" s="1"/>
  <c r="K117" i="6"/>
  <c r="M117" i="6" s="1"/>
  <c r="U117" i="6" s="1"/>
  <c r="K133" i="6"/>
  <c r="M133" i="6" s="1"/>
  <c r="U133" i="6" s="1"/>
  <c r="L133" i="6"/>
  <c r="N133" i="6" s="1"/>
  <c r="V133" i="6" s="1"/>
  <c r="L151" i="6"/>
  <c r="N151" i="6" s="1"/>
  <c r="V151" i="6" s="1"/>
  <c r="K151" i="6"/>
  <c r="M151" i="6" s="1"/>
  <c r="U151" i="6" s="1"/>
  <c r="K130" i="6"/>
  <c r="M130" i="6" s="1"/>
  <c r="U130" i="6" s="1"/>
  <c r="L130" i="6"/>
  <c r="N130" i="6" s="1"/>
  <c r="V130" i="6" s="1"/>
  <c r="L148" i="6"/>
  <c r="N148" i="6" s="1"/>
  <c r="V148" i="6" s="1"/>
  <c r="K148" i="6"/>
  <c r="M148" i="6" s="1"/>
  <c r="U148" i="6" s="1"/>
  <c r="L119" i="6"/>
  <c r="N119" i="6" s="1"/>
  <c r="V119" i="6" s="1"/>
  <c r="K119" i="6"/>
  <c r="M119" i="6" s="1"/>
  <c r="U119" i="6" s="1"/>
  <c r="K127" i="6"/>
  <c r="M127" i="6" s="1"/>
  <c r="U127" i="6" s="1"/>
  <c r="L127" i="6"/>
  <c r="N127" i="6" s="1"/>
  <c r="V127" i="6" s="1"/>
  <c r="K135" i="6"/>
  <c r="M135" i="6" s="1"/>
  <c r="U135" i="6" s="1"/>
  <c r="L135" i="6"/>
  <c r="N135" i="6" s="1"/>
  <c r="V135" i="6" s="1"/>
  <c r="K145" i="6"/>
  <c r="M145" i="6" s="1"/>
  <c r="U145" i="6" s="1"/>
  <c r="L145" i="6"/>
  <c r="N145" i="6" s="1"/>
  <c r="V145" i="6" s="1"/>
  <c r="L124" i="6"/>
  <c r="N124" i="6" s="1"/>
  <c r="V124" i="6" s="1"/>
  <c r="K124" i="6"/>
  <c r="M124" i="6" s="1"/>
  <c r="U124" i="6" s="1"/>
  <c r="K132" i="6"/>
  <c r="M132" i="6" s="1"/>
  <c r="U132" i="6" s="1"/>
  <c r="L132" i="6"/>
  <c r="N132" i="6" s="1"/>
  <c r="V132" i="6" s="1"/>
  <c r="L142" i="6"/>
  <c r="N142" i="6" s="1"/>
  <c r="V142" i="6" s="1"/>
  <c r="K142" i="6"/>
  <c r="M142" i="6" s="1"/>
  <c r="U142" i="6" s="1"/>
  <c r="L150" i="6"/>
  <c r="N150" i="6" s="1"/>
  <c r="V150" i="6" s="1"/>
  <c r="K150" i="6"/>
  <c r="M150" i="6" s="1"/>
  <c r="U150" i="6" s="1"/>
  <c r="L152" i="6"/>
  <c r="N152" i="6" s="1"/>
  <c r="V152" i="6" s="1"/>
  <c r="K152" i="6"/>
  <c r="M152" i="6" s="1"/>
  <c r="U152" i="6" s="1"/>
  <c r="L86" i="3"/>
  <c r="N86" i="3" s="1"/>
  <c r="V86" i="3" s="1"/>
  <c r="K86" i="3"/>
  <c r="M86" i="3" s="1"/>
  <c r="U86" i="3" s="1"/>
  <c r="L78" i="3"/>
  <c r="N78" i="3" s="1"/>
  <c r="V78" i="3" s="1"/>
  <c r="K78" i="3"/>
  <c r="M78" i="3" s="1"/>
  <c r="U78" i="3" s="1"/>
  <c r="K91" i="3"/>
  <c r="M91" i="3" s="1"/>
  <c r="U91" i="3" s="1"/>
  <c r="L91" i="3"/>
  <c r="N91" i="3" s="1"/>
  <c r="V91" i="3" s="1"/>
  <c r="L83" i="3"/>
  <c r="N83" i="3" s="1"/>
  <c r="V83" i="3" s="1"/>
  <c r="K83" i="3"/>
  <c r="M83" i="3" s="1"/>
  <c r="U83" i="3" s="1"/>
  <c r="K88" i="3"/>
  <c r="M88" i="3" s="1"/>
  <c r="U88" i="3" s="1"/>
  <c r="L88" i="3"/>
  <c r="N88" i="3" s="1"/>
  <c r="V88" i="3" s="1"/>
  <c r="L80" i="3"/>
  <c r="N80" i="3" s="1"/>
  <c r="V80" i="3" s="1"/>
  <c r="K80" i="3"/>
  <c r="M80" i="3" s="1"/>
  <c r="U80" i="3" s="1"/>
  <c r="L93" i="3"/>
  <c r="N93" i="3" s="1"/>
  <c r="V93" i="3" s="1"/>
  <c r="K93" i="3"/>
  <c r="M93" i="3" s="1"/>
  <c r="U93" i="3" s="1"/>
  <c r="L85" i="3"/>
  <c r="N85" i="3" s="1"/>
  <c r="V85" i="3" s="1"/>
  <c r="K85" i="3"/>
  <c r="M85" i="3" s="1"/>
  <c r="U85" i="3" s="1"/>
  <c r="L77" i="3"/>
  <c r="N77" i="3" s="1"/>
  <c r="V77" i="3" s="1"/>
  <c r="K77" i="3"/>
  <c r="M77" i="3" s="1"/>
  <c r="U77" i="3" s="1"/>
  <c r="L49" i="3"/>
  <c r="N49" i="3" s="1"/>
  <c r="V49" i="3" s="1"/>
  <c r="K49" i="3"/>
  <c r="M49" i="3" s="1"/>
  <c r="U49" i="3" s="1"/>
  <c r="K42" i="3"/>
  <c r="M42" i="3" s="1"/>
  <c r="U42" i="3" s="1"/>
  <c r="L42" i="3"/>
  <c r="N42" i="3" s="1"/>
  <c r="V42" i="3" s="1"/>
  <c r="K41" i="3"/>
  <c r="M41" i="3" s="1"/>
  <c r="U41" i="3" s="1"/>
  <c r="L41" i="3"/>
  <c r="N41" i="3" s="1"/>
  <c r="V41" i="3" s="1"/>
  <c r="L43" i="3"/>
  <c r="N43" i="3" s="1"/>
  <c r="V43" i="3" s="1"/>
  <c r="K43" i="3"/>
  <c r="M43" i="3" s="1"/>
  <c r="U43" i="3" s="1"/>
  <c r="K46" i="3"/>
  <c r="M46" i="3" s="1"/>
  <c r="U46" i="3" s="1"/>
  <c r="L46" i="3"/>
  <c r="N46" i="3" s="1"/>
  <c r="V46" i="3" s="1"/>
  <c r="K33" i="3"/>
  <c r="M33" i="3" s="1"/>
  <c r="U33" i="3" s="1"/>
  <c r="S33" i="3" s="1"/>
  <c r="L33" i="3"/>
  <c r="N33" i="3" s="1"/>
  <c r="V33" i="3" s="1"/>
  <c r="L37" i="3"/>
  <c r="N37" i="3" s="1"/>
  <c r="V37" i="3" s="1"/>
  <c r="K37" i="3"/>
  <c r="M37" i="3" s="1"/>
  <c r="U37" i="3" s="1"/>
  <c r="L39" i="3"/>
  <c r="N39" i="3" s="1"/>
  <c r="V39" i="3" s="1"/>
  <c r="K39" i="3"/>
  <c r="M39" i="3" s="1"/>
  <c r="U39" i="3" s="1"/>
  <c r="K48" i="3"/>
  <c r="M48" i="3" s="1"/>
  <c r="U48" i="3" s="1"/>
  <c r="L48" i="3"/>
  <c r="N48" i="3" s="1"/>
  <c r="V48" i="3" s="1"/>
  <c r="K40" i="3"/>
  <c r="M40" i="3" s="1"/>
  <c r="U40" i="3" s="1"/>
  <c r="L40" i="3"/>
  <c r="N40" i="3" s="1"/>
  <c r="V40" i="3" s="1"/>
  <c r="T33" i="3"/>
  <c r="K224" i="6"/>
  <c r="M224" i="6" s="1"/>
  <c r="U224" i="6" s="1"/>
  <c r="L224" i="6"/>
  <c r="N224" i="6" s="1"/>
  <c r="V224" i="6" s="1"/>
  <c r="K232" i="6"/>
  <c r="M232" i="6" s="1"/>
  <c r="U232" i="6" s="1"/>
  <c r="L232" i="6"/>
  <c r="N232" i="6" s="1"/>
  <c r="V232" i="6" s="1"/>
  <c r="L240" i="6"/>
  <c r="N240" i="6" s="1"/>
  <c r="V240" i="6" s="1"/>
  <c r="K240" i="6"/>
  <c r="M240" i="6" s="1"/>
  <c r="U240" i="6" s="1"/>
  <c r="L225" i="6"/>
  <c r="N225" i="6" s="1"/>
  <c r="V225" i="6" s="1"/>
  <c r="K225" i="6"/>
  <c r="M225" i="6" s="1"/>
  <c r="U225" i="6" s="1"/>
  <c r="L233" i="6"/>
  <c r="N233" i="6" s="1"/>
  <c r="V233" i="6" s="1"/>
  <c r="K233" i="6"/>
  <c r="M233" i="6" s="1"/>
  <c r="U233" i="6" s="1"/>
  <c r="L241" i="6"/>
  <c r="N241" i="6" s="1"/>
  <c r="V241" i="6" s="1"/>
  <c r="K241" i="6"/>
  <c r="M241" i="6" s="1"/>
  <c r="U241" i="6" s="1"/>
  <c r="L249" i="6"/>
  <c r="N249" i="6" s="1"/>
  <c r="V249" i="6" s="1"/>
  <c r="K249" i="6"/>
  <c r="M249" i="6" s="1"/>
  <c r="U249" i="6" s="1"/>
  <c r="K257" i="6"/>
  <c r="M257" i="6" s="1"/>
  <c r="U257" i="6" s="1"/>
  <c r="L257" i="6"/>
  <c r="N257" i="6" s="1"/>
  <c r="V257" i="6" s="1"/>
  <c r="L250" i="6"/>
  <c r="N250" i="6" s="1"/>
  <c r="V250" i="6" s="1"/>
  <c r="K250" i="6"/>
  <c r="M250" i="6" s="1"/>
  <c r="U250" i="6" s="1"/>
  <c r="L258" i="6"/>
  <c r="N258" i="6" s="1"/>
  <c r="V258" i="6" s="1"/>
  <c r="K258" i="6"/>
  <c r="M258" i="6" s="1"/>
  <c r="U258" i="6" s="1"/>
  <c r="K226" i="6"/>
  <c r="M226" i="6" s="1"/>
  <c r="U226" i="6" s="1"/>
  <c r="L226" i="6"/>
  <c r="N226" i="6" s="1"/>
  <c r="V226" i="6" s="1"/>
  <c r="K234" i="6"/>
  <c r="M234" i="6" s="1"/>
  <c r="U234" i="6" s="1"/>
  <c r="L234" i="6"/>
  <c r="N234" i="6" s="1"/>
  <c r="V234" i="6" s="1"/>
  <c r="L244" i="6"/>
  <c r="N244" i="6" s="1"/>
  <c r="V244" i="6" s="1"/>
  <c r="K244" i="6"/>
  <c r="M244" i="6" s="1"/>
  <c r="U244" i="6" s="1"/>
  <c r="K227" i="6"/>
  <c r="M227" i="6" s="1"/>
  <c r="U227" i="6" s="1"/>
  <c r="L227" i="6"/>
  <c r="N227" i="6" s="1"/>
  <c r="V227" i="6" s="1"/>
  <c r="L235" i="6"/>
  <c r="N235" i="6" s="1"/>
  <c r="V235" i="6" s="1"/>
  <c r="K235" i="6"/>
  <c r="M235" i="6" s="1"/>
  <c r="U235" i="6" s="1"/>
  <c r="K246" i="6"/>
  <c r="M246" i="6" s="1"/>
  <c r="U246" i="6" s="1"/>
  <c r="L246" i="6"/>
  <c r="N246" i="6" s="1"/>
  <c r="V246" i="6" s="1"/>
  <c r="K251" i="6"/>
  <c r="M251" i="6" s="1"/>
  <c r="U251" i="6" s="1"/>
  <c r="L251" i="6"/>
  <c r="N251" i="6" s="1"/>
  <c r="V251" i="6" s="1"/>
  <c r="K259" i="6"/>
  <c r="M259" i="6" s="1"/>
  <c r="U259" i="6" s="1"/>
  <c r="L259" i="6"/>
  <c r="N259" i="6" s="1"/>
  <c r="V259" i="6" s="1"/>
  <c r="K252" i="6"/>
  <c r="M252" i="6" s="1"/>
  <c r="U252" i="6" s="1"/>
  <c r="L252" i="6"/>
  <c r="N252" i="6" s="1"/>
  <c r="V252" i="6" s="1"/>
  <c r="K260" i="6"/>
  <c r="M260" i="6" s="1"/>
  <c r="U260" i="6" s="1"/>
  <c r="L260" i="6"/>
  <c r="N260" i="6" s="1"/>
  <c r="V260" i="6" s="1"/>
  <c r="L138" i="3"/>
  <c r="N138" i="3" s="1"/>
  <c r="V138" i="3" s="1"/>
  <c r="K138" i="3"/>
  <c r="M138" i="3" s="1"/>
  <c r="U138" i="3" s="1"/>
  <c r="K105" i="6"/>
  <c r="M105" i="6" s="1"/>
  <c r="U105" i="6" s="1"/>
  <c r="L105" i="6"/>
  <c r="N105" i="6" s="1"/>
  <c r="V105" i="6" s="1"/>
  <c r="K98" i="6"/>
  <c r="M98" i="6" s="1"/>
  <c r="U98" i="6" s="1"/>
  <c r="L98" i="6"/>
  <c r="N98" i="6" s="1"/>
  <c r="V98" i="6" s="1"/>
  <c r="T96" i="6" s="1"/>
  <c r="K114" i="6"/>
  <c r="M114" i="6" s="1"/>
  <c r="U114" i="6" s="1"/>
  <c r="L114" i="6"/>
  <c r="N114" i="6" s="1"/>
  <c r="V114" i="6" s="1"/>
  <c r="K109" i="6"/>
  <c r="M109" i="6" s="1"/>
  <c r="U109" i="6" s="1"/>
  <c r="L109" i="6"/>
  <c r="N109" i="6" s="1"/>
  <c r="V109" i="6" s="1"/>
  <c r="L102" i="6"/>
  <c r="N102" i="6" s="1"/>
  <c r="V102" i="6" s="1"/>
  <c r="K102" i="6"/>
  <c r="M102" i="6" s="1"/>
  <c r="U102" i="6" s="1"/>
  <c r="K103" i="6"/>
  <c r="M103" i="6" s="1"/>
  <c r="U103" i="6" s="1"/>
  <c r="L103" i="6"/>
  <c r="N103" i="6" s="1"/>
  <c r="V103" i="6" s="1"/>
  <c r="L111" i="6"/>
  <c r="N111" i="6" s="1"/>
  <c r="V111" i="6" s="1"/>
  <c r="K111" i="6"/>
  <c r="M111" i="6" s="1"/>
  <c r="U111" i="6" s="1"/>
  <c r="K104" i="6"/>
  <c r="M104" i="6" s="1"/>
  <c r="U104" i="6" s="1"/>
  <c r="L104" i="6"/>
  <c r="N104" i="6" s="1"/>
  <c r="V104" i="6" s="1"/>
  <c r="L112" i="6"/>
  <c r="N112" i="6" s="1"/>
  <c r="V112" i="6" s="1"/>
  <c r="K112" i="6"/>
  <c r="M112" i="6" s="1"/>
  <c r="U112" i="6" s="1"/>
  <c r="L54" i="6"/>
  <c r="N54" i="6" s="1"/>
  <c r="V54" i="6" s="1"/>
  <c r="K54" i="6"/>
  <c r="M54" i="6" s="1"/>
  <c r="U54" i="6" s="1"/>
  <c r="K60" i="6"/>
  <c r="M60" i="6" s="1"/>
  <c r="U60" i="6" s="1"/>
  <c r="L60" i="6"/>
  <c r="N60" i="6" s="1"/>
  <c r="V60" i="6" s="1"/>
  <c r="K56" i="6"/>
  <c r="M56" i="6" s="1"/>
  <c r="U56" i="6" s="1"/>
  <c r="L56" i="6"/>
  <c r="N56" i="6" s="1"/>
  <c r="V56" i="6" s="1"/>
  <c r="K64" i="6"/>
  <c r="M64" i="6" s="1"/>
  <c r="U64" i="6" s="1"/>
  <c r="L64" i="6"/>
  <c r="N64" i="6" s="1"/>
  <c r="V64" i="6" s="1"/>
  <c r="L55" i="6"/>
  <c r="N55" i="6" s="1"/>
  <c r="V55" i="6" s="1"/>
  <c r="K55" i="6"/>
  <c r="M55" i="6" s="1"/>
  <c r="U55" i="6" s="1"/>
  <c r="L69" i="6"/>
  <c r="N69" i="6" s="1"/>
  <c r="V69" i="6" s="1"/>
  <c r="K69" i="6"/>
  <c r="M69" i="6" s="1"/>
  <c r="U69" i="6" s="1"/>
  <c r="L58" i="6"/>
  <c r="N58" i="6" s="1"/>
  <c r="V58" i="6" s="1"/>
  <c r="K58" i="6"/>
  <c r="M58" i="6" s="1"/>
  <c r="U58" i="6" s="1"/>
  <c r="L71" i="6"/>
  <c r="N71" i="6" s="1"/>
  <c r="V71" i="6" s="1"/>
  <c r="K71" i="6"/>
  <c r="M71" i="6" s="1"/>
  <c r="U71" i="6" s="1"/>
  <c r="L66" i="6"/>
  <c r="N66" i="6" s="1"/>
  <c r="V66" i="6" s="1"/>
  <c r="K66" i="6"/>
  <c r="M66" i="6" s="1"/>
  <c r="U66" i="6" s="1"/>
  <c r="K73" i="6"/>
  <c r="M73" i="6" s="1"/>
  <c r="U73" i="6" s="1"/>
  <c r="S54" i="6" s="1"/>
  <c r="L73" i="6"/>
  <c r="N73" i="6" s="1"/>
  <c r="V73" i="6" s="1"/>
  <c r="K28" i="3"/>
  <c r="M28" i="3" s="1"/>
  <c r="U28" i="3" s="1"/>
  <c r="L28" i="3"/>
  <c r="N28" i="3" s="1"/>
  <c r="V28" i="3" s="1"/>
  <c r="K20" i="3"/>
  <c r="M20" i="3" s="1"/>
  <c r="U20" i="3" s="1"/>
  <c r="L20" i="3"/>
  <c r="N20" i="3" s="1"/>
  <c r="V20" i="3" s="1"/>
  <c r="L27" i="3"/>
  <c r="N27" i="3" s="1"/>
  <c r="V27" i="3" s="1"/>
  <c r="K27" i="3"/>
  <c r="M27" i="3" s="1"/>
  <c r="U27" i="3" s="1"/>
  <c r="L15" i="3"/>
  <c r="N15" i="3" s="1"/>
  <c r="V15" i="3" s="1"/>
  <c r="K15" i="3"/>
  <c r="M15" i="3" s="1"/>
  <c r="U15" i="3" s="1"/>
  <c r="L30" i="3"/>
  <c r="N30" i="3" s="1"/>
  <c r="V30" i="3" s="1"/>
  <c r="K30" i="3"/>
  <c r="M30" i="3" s="1"/>
  <c r="U30" i="3" s="1"/>
  <c r="L22" i="3"/>
  <c r="N22" i="3" s="1"/>
  <c r="V22" i="3" s="1"/>
  <c r="K22" i="3"/>
  <c r="M22" i="3" s="1"/>
  <c r="U22" i="3" s="1"/>
  <c r="L14" i="3"/>
  <c r="N14" i="3" s="1"/>
  <c r="V14" i="3" s="1"/>
  <c r="K14" i="3"/>
  <c r="M14" i="3" s="1"/>
  <c r="U14" i="3" s="1"/>
  <c r="L25" i="3"/>
  <c r="N25" i="3" s="1"/>
  <c r="V25" i="3" s="1"/>
  <c r="K25" i="3"/>
  <c r="M25" i="3" s="1"/>
  <c r="U25" i="3" s="1"/>
  <c r="K17" i="3"/>
  <c r="M17" i="3" s="1"/>
  <c r="U17" i="3" s="1"/>
  <c r="L17" i="3"/>
  <c r="N17" i="3" s="1"/>
  <c r="V17" i="3" s="1"/>
  <c r="L12" i="3"/>
  <c r="N12" i="3" s="1"/>
  <c r="V12" i="3" s="1"/>
  <c r="K12" i="3"/>
  <c r="M12" i="3" s="1"/>
  <c r="U12" i="3" s="1"/>
  <c r="S12" i="3" s="1"/>
  <c r="K19" i="3"/>
  <c r="M19" i="3" s="1"/>
  <c r="U19" i="3" s="1"/>
  <c r="L19" i="3"/>
  <c r="N19" i="3" s="1"/>
  <c r="V19" i="3" s="1"/>
  <c r="T12" i="3" s="1"/>
  <c r="AA264" i="3"/>
  <c r="AB264" i="3"/>
  <c r="T180" i="5"/>
  <c r="X180" i="3" s="1"/>
  <c r="T33" i="5"/>
  <c r="X33" i="3" s="1"/>
  <c r="Z33" i="3" s="1"/>
  <c r="T222" i="5"/>
  <c r="X222" i="3" s="1"/>
  <c r="S222" i="5"/>
  <c r="W222" i="3" s="1"/>
  <c r="T75" i="5"/>
  <c r="X75" i="6" s="1"/>
  <c r="W222" i="6"/>
  <c r="X75" i="3"/>
  <c r="S285" i="5"/>
  <c r="X222" i="6"/>
  <c r="T96" i="5"/>
  <c r="T201" i="5"/>
  <c r="X33" i="6"/>
  <c r="S243" i="5"/>
  <c r="S54" i="5"/>
  <c r="T159" i="5"/>
  <c r="S75" i="5"/>
  <c r="T285" i="5"/>
  <c r="S180" i="5"/>
  <c r="S96" i="5"/>
  <c r="S201" i="5"/>
  <c r="S33" i="5"/>
  <c r="T243" i="5"/>
  <c r="T54" i="5"/>
  <c r="S159" i="5"/>
  <c r="S12" i="5"/>
  <c r="T12" i="5"/>
  <c r="K206" i="6"/>
  <c r="M206" i="6" s="1"/>
  <c r="U206" i="6" s="1"/>
  <c r="L206" i="6"/>
  <c r="N206" i="6" s="1"/>
  <c r="V206" i="6" s="1"/>
  <c r="L214" i="6"/>
  <c r="N214" i="6" s="1"/>
  <c r="V214" i="6" s="1"/>
  <c r="K214" i="6"/>
  <c r="M214" i="6" s="1"/>
  <c r="U214" i="6" s="1"/>
  <c r="L201" i="6"/>
  <c r="N201" i="6" s="1"/>
  <c r="V201" i="6" s="1"/>
  <c r="K201" i="6"/>
  <c r="M201" i="6" s="1"/>
  <c r="U201" i="6" s="1"/>
  <c r="L207" i="6"/>
  <c r="N207" i="6" s="1"/>
  <c r="V207" i="6" s="1"/>
  <c r="K207" i="6"/>
  <c r="M207" i="6" s="1"/>
  <c r="U207" i="6" s="1"/>
  <c r="K215" i="6"/>
  <c r="M215" i="6" s="1"/>
  <c r="U215" i="6" s="1"/>
  <c r="L215" i="6"/>
  <c r="N215" i="6" s="1"/>
  <c r="V215" i="6" s="1"/>
  <c r="L208" i="6"/>
  <c r="N208" i="6" s="1"/>
  <c r="V208" i="6" s="1"/>
  <c r="K208" i="6"/>
  <c r="M208" i="6" s="1"/>
  <c r="U208" i="6" s="1"/>
  <c r="K216" i="6"/>
  <c r="M216" i="6" s="1"/>
  <c r="U216" i="6" s="1"/>
  <c r="L216" i="6"/>
  <c r="N216" i="6" s="1"/>
  <c r="V216" i="6" s="1"/>
  <c r="L209" i="6"/>
  <c r="N209" i="6" s="1"/>
  <c r="V209" i="6" s="1"/>
  <c r="K209" i="6"/>
  <c r="M209" i="6" s="1"/>
  <c r="U209" i="6" s="1"/>
  <c r="L217" i="6"/>
  <c r="N217" i="6" s="1"/>
  <c r="V217" i="6" s="1"/>
  <c r="K217" i="6"/>
  <c r="M217" i="6" s="1"/>
  <c r="U217" i="6" s="1"/>
  <c r="K206" i="3"/>
  <c r="M206" i="3" s="1"/>
  <c r="U206" i="3" s="1"/>
  <c r="L206" i="3"/>
  <c r="N206" i="3" s="1"/>
  <c r="V206" i="3" s="1"/>
  <c r="K201" i="3"/>
  <c r="M201" i="3" s="1"/>
  <c r="U201" i="3" s="1"/>
  <c r="L201" i="3"/>
  <c r="N201" i="3" s="1"/>
  <c r="V201" i="3" s="1"/>
  <c r="K213" i="3"/>
  <c r="M213" i="3" s="1"/>
  <c r="U213" i="3" s="1"/>
  <c r="L213" i="3"/>
  <c r="N213" i="3" s="1"/>
  <c r="V213" i="3" s="1"/>
  <c r="K205" i="3"/>
  <c r="M205" i="3" s="1"/>
  <c r="U205" i="3" s="1"/>
  <c r="L205" i="3"/>
  <c r="N205" i="3" s="1"/>
  <c r="V205" i="3" s="1"/>
  <c r="L220" i="3"/>
  <c r="N220" i="3" s="1"/>
  <c r="V220" i="3" s="1"/>
  <c r="K220" i="3"/>
  <c r="M220" i="3" s="1"/>
  <c r="U220" i="3" s="1"/>
  <c r="K202" i="3"/>
  <c r="M202" i="3" s="1"/>
  <c r="U202" i="3" s="1"/>
  <c r="L202" i="3"/>
  <c r="N202" i="3" s="1"/>
  <c r="V202" i="3" s="1"/>
  <c r="K218" i="3"/>
  <c r="M218" i="3" s="1"/>
  <c r="U218" i="3" s="1"/>
  <c r="L218" i="3"/>
  <c r="N218" i="3" s="1"/>
  <c r="V218" i="3" s="1"/>
  <c r="K215" i="3"/>
  <c r="M215" i="3" s="1"/>
  <c r="U215" i="3" s="1"/>
  <c r="L215" i="3"/>
  <c r="N215" i="3" s="1"/>
  <c r="V215" i="3" s="1"/>
  <c r="K207" i="3"/>
  <c r="M207" i="3" s="1"/>
  <c r="U207" i="3" s="1"/>
  <c r="L207" i="3"/>
  <c r="N207" i="3" s="1"/>
  <c r="V207" i="3" s="1"/>
  <c r="K208" i="3"/>
  <c r="M208" i="3" s="1"/>
  <c r="U208" i="3" s="1"/>
  <c r="L208" i="3"/>
  <c r="N208" i="3" s="1"/>
  <c r="V208" i="3" s="1"/>
  <c r="K204" i="3"/>
  <c r="M204" i="3" s="1"/>
  <c r="U204" i="3" s="1"/>
  <c r="L204" i="3"/>
  <c r="N204" i="3" s="1"/>
  <c r="V204" i="3" s="1"/>
  <c r="L202" i="6"/>
  <c r="N202" i="6" s="1"/>
  <c r="V202" i="6" s="1"/>
  <c r="K202" i="6"/>
  <c r="M202" i="6" s="1"/>
  <c r="U202" i="6" s="1"/>
  <c r="L210" i="6"/>
  <c r="N210" i="6" s="1"/>
  <c r="V210" i="6" s="1"/>
  <c r="K210" i="6"/>
  <c r="M210" i="6" s="1"/>
  <c r="U210" i="6" s="1"/>
  <c r="L218" i="6"/>
  <c r="N218" i="6" s="1"/>
  <c r="V218" i="6" s="1"/>
  <c r="K218" i="6"/>
  <c r="M218" i="6" s="1"/>
  <c r="U218" i="6" s="1"/>
  <c r="K203" i="6"/>
  <c r="M203" i="6" s="1"/>
  <c r="U203" i="6" s="1"/>
  <c r="L203" i="6"/>
  <c r="N203" i="6" s="1"/>
  <c r="V203" i="6" s="1"/>
  <c r="L211" i="6"/>
  <c r="N211" i="6" s="1"/>
  <c r="V211" i="6" s="1"/>
  <c r="K211" i="6"/>
  <c r="M211" i="6" s="1"/>
  <c r="U211" i="6" s="1"/>
  <c r="L219" i="6"/>
  <c r="N219" i="6" s="1"/>
  <c r="V219" i="6" s="1"/>
  <c r="K219" i="6"/>
  <c r="M219" i="6" s="1"/>
  <c r="U219" i="6" s="1"/>
  <c r="L204" i="6"/>
  <c r="N204" i="6" s="1"/>
  <c r="V204" i="6" s="1"/>
  <c r="K204" i="6"/>
  <c r="M204" i="6" s="1"/>
  <c r="U204" i="6" s="1"/>
  <c r="L212" i="6"/>
  <c r="N212" i="6" s="1"/>
  <c r="V212" i="6" s="1"/>
  <c r="K212" i="6"/>
  <c r="M212" i="6" s="1"/>
  <c r="U212" i="6" s="1"/>
  <c r="L220" i="6"/>
  <c r="N220" i="6" s="1"/>
  <c r="V220" i="6" s="1"/>
  <c r="K220" i="6"/>
  <c r="M220" i="6" s="1"/>
  <c r="U220" i="6" s="1"/>
  <c r="L205" i="6"/>
  <c r="N205" i="6" s="1"/>
  <c r="V205" i="6" s="1"/>
  <c r="K205" i="6"/>
  <c r="M205" i="6" s="1"/>
  <c r="U205" i="6" s="1"/>
  <c r="L213" i="6"/>
  <c r="N213" i="6" s="1"/>
  <c r="V213" i="6" s="1"/>
  <c r="K213" i="6"/>
  <c r="M213" i="6" s="1"/>
  <c r="U213" i="6" s="1"/>
  <c r="L214" i="3"/>
  <c r="N214" i="3" s="1"/>
  <c r="V214" i="3" s="1"/>
  <c r="K214" i="3"/>
  <c r="M214" i="3" s="1"/>
  <c r="U214" i="3" s="1"/>
  <c r="K217" i="3"/>
  <c r="M217" i="3" s="1"/>
  <c r="U217" i="3" s="1"/>
  <c r="L217" i="3"/>
  <c r="N217" i="3" s="1"/>
  <c r="V217" i="3" s="1"/>
  <c r="K209" i="3"/>
  <c r="M209" i="3" s="1"/>
  <c r="U209" i="3" s="1"/>
  <c r="L209" i="3"/>
  <c r="N209" i="3" s="1"/>
  <c r="V209" i="3" s="1"/>
  <c r="K212" i="3"/>
  <c r="M212" i="3" s="1"/>
  <c r="U212" i="3" s="1"/>
  <c r="L212" i="3"/>
  <c r="N212" i="3" s="1"/>
  <c r="V212" i="3" s="1"/>
  <c r="L210" i="3"/>
  <c r="N210" i="3" s="1"/>
  <c r="V210" i="3" s="1"/>
  <c r="K210" i="3"/>
  <c r="M210" i="3" s="1"/>
  <c r="U210" i="3" s="1"/>
  <c r="L219" i="3"/>
  <c r="N219" i="3" s="1"/>
  <c r="V219" i="3" s="1"/>
  <c r="K219" i="3"/>
  <c r="M219" i="3" s="1"/>
  <c r="U219" i="3" s="1"/>
  <c r="K211" i="3"/>
  <c r="M211" i="3" s="1"/>
  <c r="U211" i="3" s="1"/>
  <c r="L211" i="3"/>
  <c r="N211" i="3" s="1"/>
  <c r="V211" i="3" s="1"/>
  <c r="K203" i="3"/>
  <c r="M203" i="3" s="1"/>
  <c r="U203" i="3" s="1"/>
  <c r="L203" i="3"/>
  <c r="N203" i="3" s="1"/>
  <c r="V203" i="3" s="1"/>
  <c r="K216" i="3"/>
  <c r="M216" i="3" s="1"/>
  <c r="U216" i="3" s="1"/>
  <c r="L216" i="3"/>
  <c r="N216" i="3" s="1"/>
  <c r="V216" i="3" s="1"/>
  <c r="L185" i="6"/>
  <c r="N185" i="6" s="1"/>
  <c r="V185" i="6" s="1"/>
  <c r="K185" i="6"/>
  <c r="M185" i="6" s="1"/>
  <c r="U185" i="6" s="1"/>
  <c r="K193" i="6"/>
  <c r="M193" i="6" s="1"/>
  <c r="U193" i="6" s="1"/>
  <c r="L193" i="6"/>
  <c r="N193" i="6" s="1"/>
  <c r="V193" i="6" s="1"/>
  <c r="L188" i="6"/>
  <c r="N188" i="6" s="1"/>
  <c r="V188" i="6" s="1"/>
  <c r="K188" i="6"/>
  <c r="M188" i="6" s="1"/>
  <c r="U188" i="6" s="1"/>
  <c r="L196" i="6"/>
  <c r="N196" i="6" s="1"/>
  <c r="V196" i="6" s="1"/>
  <c r="K196" i="6"/>
  <c r="M196" i="6" s="1"/>
  <c r="U196" i="6" s="1"/>
  <c r="K187" i="6"/>
  <c r="M187" i="6" s="1"/>
  <c r="U187" i="6" s="1"/>
  <c r="L187" i="6"/>
  <c r="N187" i="6" s="1"/>
  <c r="V187" i="6" s="1"/>
  <c r="K195" i="6"/>
  <c r="M195" i="6" s="1"/>
  <c r="U195" i="6" s="1"/>
  <c r="L195" i="6"/>
  <c r="N195" i="6" s="1"/>
  <c r="V195" i="6" s="1"/>
  <c r="L182" i="6"/>
  <c r="N182" i="6" s="1"/>
  <c r="V182" i="6" s="1"/>
  <c r="K182" i="6"/>
  <c r="M182" i="6" s="1"/>
  <c r="U182" i="6" s="1"/>
  <c r="L190" i="6"/>
  <c r="N190" i="6" s="1"/>
  <c r="V190" i="6" s="1"/>
  <c r="K190" i="6"/>
  <c r="M190" i="6" s="1"/>
  <c r="U190" i="6" s="1"/>
  <c r="K198" i="6"/>
  <c r="M198" i="6" s="1"/>
  <c r="U198" i="6" s="1"/>
  <c r="L198" i="6"/>
  <c r="N198" i="6" s="1"/>
  <c r="V198" i="6" s="1"/>
  <c r="K187" i="3"/>
  <c r="M187" i="3" s="1"/>
  <c r="U187" i="3" s="1"/>
  <c r="L187" i="3"/>
  <c r="N187" i="3" s="1"/>
  <c r="V187" i="3" s="1"/>
  <c r="L195" i="3"/>
  <c r="N195" i="3" s="1"/>
  <c r="V195" i="3" s="1"/>
  <c r="K195" i="3"/>
  <c r="M195" i="3" s="1"/>
  <c r="U195" i="3" s="1"/>
  <c r="L184" i="3"/>
  <c r="N184" i="3" s="1"/>
  <c r="V184" i="3" s="1"/>
  <c r="K184" i="3"/>
  <c r="M184" i="3" s="1"/>
  <c r="U184" i="3" s="1"/>
  <c r="K180" i="3"/>
  <c r="M180" i="3" s="1"/>
  <c r="U180" i="3" s="1"/>
  <c r="L180" i="3"/>
  <c r="N180" i="3" s="1"/>
  <c r="V180" i="3" s="1"/>
  <c r="L190" i="3"/>
  <c r="N190" i="3" s="1"/>
  <c r="V190" i="3" s="1"/>
  <c r="K190" i="3"/>
  <c r="M190" i="3" s="1"/>
  <c r="U190" i="3" s="1"/>
  <c r="L185" i="3"/>
  <c r="N185" i="3" s="1"/>
  <c r="V185" i="3" s="1"/>
  <c r="K185" i="3"/>
  <c r="M185" i="3" s="1"/>
  <c r="U185" i="3" s="1"/>
  <c r="K193" i="3"/>
  <c r="M193" i="3" s="1"/>
  <c r="U193" i="3" s="1"/>
  <c r="L193" i="3"/>
  <c r="N193" i="3" s="1"/>
  <c r="V193" i="3" s="1"/>
  <c r="L188" i="3"/>
  <c r="N188" i="3" s="1"/>
  <c r="V188" i="3" s="1"/>
  <c r="K188" i="3"/>
  <c r="M188" i="3" s="1"/>
  <c r="U188" i="3" s="1"/>
  <c r="L186" i="3"/>
  <c r="N186" i="3" s="1"/>
  <c r="V186" i="3" s="1"/>
  <c r="K186" i="3"/>
  <c r="M186" i="3" s="1"/>
  <c r="U186" i="3" s="1"/>
  <c r="K181" i="3"/>
  <c r="M181" i="3" s="1"/>
  <c r="U181" i="3" s="1"/>
  <c r="L181" i="3"/>
  <c r="N181" i="3" s="1"/>
  <c r="V181" i="3" s="1"/>
  <c r="L181" i="6"/>
  <c r="N181" i="6" s="1"/>
  <c r="V181" i="6" s="1"/>
  <c r="K181" i="6"/>
  <c r="M181" i="6" s="1"/>
  <c r="U181" i="6" s="1"/>
  <c r="K189" i="6"/>
  <c r="M189" i="6" s="1"/>
  <c r="U189" i="6" s="1"/>
  <c r="L189" i="6"/>
  <c r="N189" i="6" s="1"/>
  <c r="V189" i="6" s="1"/>
  <c r="K197" i="6"/>
  <c r="M197" i="6" s="1"/>
  <c r="U197" i="6" s="1"/>
  <c r="L197" i="6"/>
  <c r="N197" i="6" s="1"/>
  <c r="V197" i="6" s="1"/>
  <c r="K184" i="6"/>
  <c r="M184" i="6" s="1"/>
  <c r="U184" i="6" s="1"/>
  <c r="L184" i="6"/>
  <c r="N184" i="6" s="1"/>
  <c r="V184" i="6" s="1"/>
  <c r="K192" i="6"/>
  <c r="M192" i="6" s="1"/>
  <c r="U192" i="6" s="1"/>
  <c r="L192" i="6"/>
  <c r="N192" i="6" s="1"/>
  <c r="V192" i="6" s="1"/>
  <c r="L199" i="6"/>
  <c r="N199" i="6" s="1"/>
  <c r="V199" i="6" s="1"/>
  <c r="K199" i="6"/>
  <c r="M199" i="6" s="1"/>
  <c r="U199" i="6" s="1"/>
  <c r="K183" i="6"/>
  <c r="M183" i="6" s="1"/>
  <c r="U183" i="6" s="1"/>
  <c r="L183" i="6"/>
  <c r="N183" i="6" s="1"/>
  <c r="V183" i="6" s="1"/>
  <c r="K191" i="6"/>
  <c r="M191" i="6" s="1"/>
  <c r="U191" i="6" s="1"/>
  <c r="L191" i="6"/>
  <c r="N191" i="6" s="1"/>
  <c r="V191" i="6" s="1"/>
  <c r="K180" i="6"/>
  <c r="M180" i="6" s="1"/>
  <c r="U180" i="6" s="1"/>
  <c r="L180" i="6"/>
  <c r="N180" i="6" s="1"/>
  <c r="V180" i="6" s="1"/>
  <c r="K186" i="6"/>
  <c r="M186" i="6" s="1"/>
  <c r="U186" i="6" s="1"/>
  <c r="L186" i="6"/>
  <c r="N186" i="6" s="1"/>
  <c r="V186" i="6" s="1"/>
  <c r="L194" i="6"/>
  <c r="N194" i="6" s="1"/>
  <c r="V194" i="6" s="1"/>
  <c r="K194" i="6"/>
  <c r="M194" i="6" s="1"/>
  <c r="U194" i="6" s="1"/>
  <c r="K183" i="3"/>
  <c r="M183" i="3" s="1"/>
  <c r="U183" i="3" s="1"/>
  <c r="L183" i="3"/>
  <c r="N183" i="3" s="1"/>
  <c r="V183" i="3" s="1"/>
  <c r="K191" i="3"/>
  <c r="M191" i="3" s="1"/>
  <c r="U191" i="3" s="1"/>
  <c r="L191" i="3"/>
  <c r="N191" i="3" s="1"/>
  <c r="V191" i="3" s="1"/>
  <c r="K199" i="3"/>
  <c r="M199" i="3" s="1"/>
  <c r="U199" i="3" s="1"/>
  <c r="L199" i="3"/>
  <c r="N199" i="3" s="1"/>
  <c r="V199" i="3" s="1"/>
  <c r="L192" i="3"/>
  <c r="N192" i="3" s="1"/>
  <c r="V192" i="3" s="1"/>
  <c r="K192" i="3"/>
  <c r="M192" i="3" s="1"/>
  <c r="U192" i="3" s="1"/>
  <c r="L182" i="3"/>
  <c r="N182" i="3" s="1"/>
  <c r="V182" i="3" s="1"/>
  <c r="K182" i="3"/>
  <c r="M182" i="3" s="1"/>
  <c r="U182" i="3" s="1"/>
  <c r="K198" i="3"/>
  <c r="M198" i="3" s="1"/>
  <c r="U198" i="3" s="1"/>
  <c r="L198" i="3"/>
  <c r="N198" i="3" s="1"/>
  <c r="V198" i="3" s="1"/>
  <c r="K189" i="3"/>
  <c r="M189" i="3" s="1"/>
  <c r="U189" i="3" s="1"/>
  <c r="L189" i="3"/>
  <c r="N189" i="3" s="1"/>
  <c r="V189" i="3" s="1"/>
  <c r="K197" i="3"/>
  <c r="M197" i="3" s="1"/>
  <c r="U197" i="3" s="1"/>
  <c r="L197" i="3"/>
  <c r="N197" i="3" s="1"/>
  <c r="V197" i="3" s="1"/>
  <c r="L196" i="3"/>
  <c r="N196" i="3" s="1"/>
  <c r="V196" i="3" s="1"/>
  <c r="K196" i="3"/>
  <c r="M196" i="3" s="1"/>
  <c r="U196" i="3" s="1"/>
  <c r="L194" i="3"/>
  <c r="N194" i="3" s="1"/>
  <c r="V194" i="3" s="1"/>
  <c r="K194" i="3"/>
  <c r="M194" i="3" s="1"/>
  <c r="U194" i="3" s="1"/>
  <c r="S117" i="5"/>
  <c r="S138" i="5"/>
  <c r="T117" i="5"/>
  <c r="T138" i="5"/>
  <c r="J280" i="6"/>
  <c r="J276" i="6"/>
  <c r="J272" i="6"/>
  <c r="J283" i="6"/>
  <c r="J279" i="6"/>
  <c r="J275" i="6"/>
  <c r="J271" i="6"/>
  <c r="J266" i="6"/>
  <c r="J264" i="6"/>
  <c r="J267" i="6"/>
  <c r="U263" i="6"/>
  <c r="J282" i="6"/>
  <c r="J278" i="6"/>
  <c r="J274" i="6"/>
  <c r="J270" i="6"/>
  <c r="J281" i="6"/>
  <c r="J277" i="6"/>
  <c r="J273" i="6"/>
  <c r="J268" i="6"/>
  <c r="R264" i="6"/>
  <c r="V263" i="6" s="1"/>
  <c r="J269" i="6"/>
  <c r="J265" i="6"/>
  <c r="L274" i="5"/>
  <c r="N274" i="5" s="1"/>
  <c r="V274" i="5" s="1"/>
  <c r="K274" i="5"/>
  <c r="M274" i="5" s="1"/>
  <c r="U274" i="5" s="1"/>
  <c r="K267" i="5"/>
  <c r="M267" i="5" s="1"/>
  <c r="U267" i="5" s="1"/>
  <c r="L267" i="5"/>
  <c r="N267" i="5" s="1"/>
  <c r="V267" i="5" s="1"/>
  <c r="K275" i="5"/>
  <c r="M275" i="5" s="1"/>
  <c r="U275" i="5" s="1"/>
  <c r="L275" i="5"/>
  <c r="N275" i="5" s="1"/>
  <c r="V275" i="5" s="1"/>
  <c r="K279" i="5"/>
  <c r="M279" i="5" s="1"/>
  <c r="U279" i="5" s="1"/>
  <c r="L279" i="5"/>
  <c r="N279" i="5" s="1"/>
  <c r="V279" i="5" s="1"/>
  <c r="K268" i="5"/>
  <c r="M268" i="5" s="1"/>
  <c r="U268" i="5" s="1"/>
  <c r="L268" i="5"/>
  <c r="N268" i="5" s="1"/>
  <c r="V268" i="5" s="1"/>
  <c r="K282" i="5"/>
  <c r="M282" i="5" s="1"/>
  <c r="U282" i="5" s="1"/>
  <c r="L282" i="5"/>
  <c r="N282" i="5" s="1"/>
  <c r="V282" i="5" s="1"/>
  <c r="L264" i="5"/>
  <c r="N264" i="5" s="1"/>
  <c r="V264" i="5" s="1"/>
  <c r="K264" i="5"/>
  <c r="M264" i="5" s="1"/>
  <c r="U264" i="5" s="1"/>
  <c r="L269" i="5"/>
  <c r="N269" i="5" s="1"/>
  <c r="V269" i="5" s="1"/>
  <c r="K269" i="5"/>
  <c r="M269" i="5" s="1"/>
  <c r="U269" i="5" s="1"/>
  <c r="L276" i="5"/>
  <c r="N276" i="5" s="1"/>
  <c r="V276" i="5" s="1"/>
  <c r="K276" i="5"/>
  <c r="M276" i="5" s="1"/>
  <c r="U276" i="5" s="1"/>
  <c r="L281" i="5"/>
  <c r="N281" i="5" s="1"/>
  <c r="V281" i="5" s="1"/>
  <c r="K281" i="5"/>
  <c r="M281" i="5" s="1"/>
  <c r="U281" i="5" s="1"/>
  <c r="J265" i="3"/>
  <c r="J268" i="3"/>
  <c r="J272" i="3"/>
  <c r="J276" i="3"/>
  <c r="J280" i="3"/>
  <c r="J264" i="3"/>
  <c r="U263" i="3"/>
  <c r="J266" i="3"/>
  <c r="J270" i="3"/>
  <c r="J274" i="3"/>
  <c r="J278" i="3"/>
  <c r="J282" i="3"/>
  <c r="J281" i="3"/>
  <c r="J277" i="3"/>
  <c r="J273" i="3"/>
  <c r="J269" i="3"/>
  <c r="J283" i="3"/>
  <c r="J279" i="3"/>
  <c r="J275" i="3"/>
  <c r="J271" i="3"/>
  <c r="J267" i="3"/>
  <c r="R264" i="3"/>
  <c r="V263" i="3" s="1"/>
  <c r="Q16" i="1"/>
  <c r="L266" i="5"/>
  <c r="N266" i="5" s="1"/>
  <c r="V266" i="5" s="1"/>
  <c r="K266" i="5"/>
  <c r="M266" i="5" s="1"/>
  <c r="U266" i="5" s="1"/>
  <c r="K271" i="5"/>
  <c r="M271" i="5" s="1"/>
  <c r="U271" i="5" s="1"/>
  <c r="L271" i="5"/>
  <c r="N271" i="5" s="1"/>
  <c r="V271" i="5" s="1"/>
  <c r="K280" i="5"/>
  <c r="M280" i="5" s="1"/>
  <c r="U280" i="5" s="1"/>
  <c r="L280" i="5"/>
  <c r="N280" i="5" s="1"/>
  <c r="V280" i="5" s="1"/>
  <c r="K283" i="5"/>
  <c r="M283" i="5" s="1"/>
  <c r="U283" i="5" s="1"/>
  <c r="L283" i="5"/>
  <c r="N283" i="5" s="1"/>
  <c r="V283" i="5" s="1"/>
  <c r="K272" i="5"/>
  <c r="M272" i="5" s="1"/>
  <c r="U272" i="5" s="1"/>
  <c r="L272" i="5"/>
  <c r="N272" i="5" s="1"/>
  <c r="V272" i="5" s="1"/>
  <c r="L270" i="5"/>
  <c r="N270" i="5" s="1"/>
  <c r="V270" i="5" s="1"/>
  <c r="K270" i="5"/>
  <c r="M270" i="5" s="1"/>
  <c r="U270" i="5" s="1"/>
  <c r="L265" i="5"/>
  <c r="N265" i="5" s="1"/>
  <c r="V265" i="5" s="1"/>
  <c r="K265" i="5"/>
  <c r="M265" i="5" s="1"/>
  <c r="U265" i="5" s="1"/>
  <c r="L273" i="5"/>
  <c r="N273" i="5" s="1"/>
  <c r="V273" i="5" s="1"/>
  <c r="K273" i="5"/>
  <c r="M273" i="5" s="1"/>
  <c r="U273" i="5" s="1"/>
  <c r="L277" i="5"/>
  <c r="N277" i="5" s="1"/>
  <c r="V277" i="5" s="1"/>
  <c r="K277" i="5"/>
  <c r="M277" i="5" s="1"/>
  <c r="U277" i="5" s="1"/>
  <c r="L278" i="5"/>
  <c r="N278" i="5" s="1"/>
  <c r="V278" i="5" s="1"/>
  <c r="K278" i="5"/>
  <c r="M278" i="5" s="1"/>
  <c r="U278" i="5" s="1"/>
  <c r="S222" i="6" l="1"/>
  <c r="Y222" i="6" s="1"/>
  <c r="T75" i="3"/>
  <c r="S12" i="6"/>
  <c r="T96" i="3"/>
  <c r="S222" i="3"/>
  <c r="Y222" i="3" s="1"/>
  <c r="T75" i="6"/>
  <c r="T138" i="3"/>
  <c r="S159" i="3"/>
  <c r="S285" i="3"/>
  <c r="S243" i="6"/>
  <c r="S117" i="6"/>
  <c r="T138" i="6"/>
  <c r="S159" i="6"/>
  <c r="T285" i="6"/>
  <c r="S54" i="3"/>
  <c r="T33" i="6"/>
  <c r="Z33" i="6" s="1"/>
  <c r="S117" i="3"/>
  <c r="Z75" i="3"/>
  <c r="Z75" i="6"/>
  <c r="T54" i="6"/>
  <c r="T222" i="6"/>
  <c r="Z222" i="6" s="1"/>
  <c r="S75" i="3"/>
  <c r="T12" i="6"/>
  <c r="S96" i="3"/>
  <c r="T243" i="3"/>
  <c r="T222" i="3"/>
  <c r="Z222" i="3" s="1"/>
  <c r="S75" i="6"/>
  <c r="S138" i="3"/>
  <c r="T159" i="3"/>
  <c r="T285" i="3"/>
  <c r="S96" i="6"/>
  <c r="T243" i="6"/>
  <c r="T117" i="6"/>
  <c r="T159" i="6"/>
  <c r="S285" i="6"/>
  <c r="T54" i="3"/>
  <c r="S33" i="6"/>
  <c r="T117" i="3"/>
  <c r="X180" i="6"/>
  <c r="X54" i="3"/>
  <c r="Z54" i="3" s="1"/>
  <c r="X54" i="6"/>
  <c r="Z54" i="6" s="1"/>
  <c r="W33" i="3"/>
  <c r="Y33" i="3" s="1"/>
  <c r="W33" i="6"/>
  <c r="Y33" i="6" s="1"/>
  <c r="W96" i="3"/>
  <c r="Y96" i="3" s="1"/>
  <c r="W96" i="6"/>
  <c r="Y96" i="6" s="1"/>
  <c r="X285" i="6"/>
  <c r="Z285" i="6" s="1"/>
  <c r="X285" i="3"/>
  <c r="Z285" i="3" s="1"/>
  <c r="X159" i="6"/>
  <c r="Z159" i="6" s="1"/>
  <c r="X159" i="3"/>
  <c r="Z159" i="3" s="1"/>
  <c r="W243" i="6"/>
  <c r="Y243" i="6" s="1"/>
  <c r="W243" i="3"/>
  <c r="Y243" i="3" s="1"/>
  <c r="X96" i="6"/>
  <c r="Z96" i="6" s="1"/>
  <c r="X96" i="3"/>
  <c r="Z96" i="3" s="1"/>
  <c r="W159" i="6"/>
  <c r="Y159" i="6" s="1"/>
  <c r="W159" i="3"/>
  <c r="Y159" i="3" s="1"/>
  <c r="X243" i="6"/>
  <c r="Z243" i="6" s="1"/>
  <c r="X243" i="3"/>
  <c r="Z243" i="3" s="1"/>
  <c r="W201" i="6"/>
  <c r="W201" i="3"/>
  <c r="W180" i="6"/>
  <c r="W180" i="3"/>
  <c r="W75" i="6"/>
  <c r="Y75" i="6" s="1"/>
  <c r="W75" i="3"/>
  <c r="Y75" i="3" s="1"/>
  <c r="W54" i="6"/>
  <c r="Y54" i="6" s="1"/>
  <c r="W54" i="3"/>
  <c r="Y54" i="3" s="1"/>
  <c r="X201" i="6"/>
  <c r="X201" i="3"/>
  <c r="W285" i="6"/>
  <c r="Y285" i="6" s="1"/>
  <c r="W285" i="3"/>
  <c r="Y285" i="3" s="1"/>
  <c r="X12" i="3"/>
  <c r="Z12" i="3" s="1"/>
  <c r="X12" i="6"/>
  <c r="Z12" i="6" s="1"/>
  <c r="W12" i="6"/>
  <c r="Y12" i="6" s="1"/>
  <c r="W12" i="3"/>
  <c r="Y12" i="3" s="1"/>
  <c r="T180" i="6"/>
  <c r="S201" i="6"/>
  <c r="S201" i="3"/>
  <c r="T201" i="6"/>
  <c r="T201" i="3"/>
  <c r="T180" i="3"/>
  <c r="Z180" i="3" s="1"/>
  <c r="S180" i="6"/>
  <c r="Y180" i="6" s="1"/>
  <c r="S180" i="3"/>
  <c r="Y180" i="3" s="1"/>
  <c r="X138" i="3"/>
  <c r="Z138" i="3" s="1"/>
  <c r="X138" i="6"/>
  <c r="Z138" i="6" s="1"/>
  <c r="W138" i="6"/>
  <c r="Y138" i="6" s="1"/>
  <c r="W138" i="3"/>
  <c r="Y138" i="3" s="1"/>
  <c r="X117" i="6"/>
  <c r="Z117" i="6" s="1"/>
  <c r="X117" i="3"/>
  <c r="Z117" i="3" s="1"/>
  <c r="W117" i="6"/>
  <c r="Y117" i="6" s="1"/>
  <c r="W117" i="3"/>
  <c r="Y117" i="3" s="1"/>
  <c r="T264" i="5"/>
  <c r="L267" i="3"/>
  <c r="N267" i="3" s="1"/>
  <c r="V267" i="3" s="1"/>
  <c r="K267" i="3"/>
  <c r="M267" i="3" s="1"/>
  <c r="U267" i="3" s="1"/>
  <c r="L275" i="3"/>
  <c r="N275" i="3" s="1"/>
  <c r="V275" i="3" s="1"/>
  <c r="K275" i="3"/>
  <c r="M275" i="3" s="1"/>
  <c r="U275" i="3" s="1"/>
  <c r="K283" i="3"/>
  <c r="M283" i="3" s="1"/>
  <c r="U283" i="3" s="1"/>
  <c r="L283" i="3"/>
  <c r="N283" i="3" s="1"/>
  <c r="V283" i="3" s="1"/>
  <c r="L273" i="3"/>
  <c r="N273" i="3" s="1"/>
  <c r="V273" i="3" s="1"/>
  <c r="K273" i="3"/>
  <c r="M273" i="3" s="1"/>
  <c r="U273" i="3" s="1"/>
  <c r="L281" i="3"/>
  <c r="N281" i="3" s="1"/>
  <c r="V281" i="3" s="1"/>
  <c r="K281" i="3"/>
  <c r="M281" i="3" s="1"/>
  <c r="U281" i="3" s="1"/>
  <c r="K278" i="3"/>
  <c r="M278" i="3" s="1"/>
  <c r="U278" i="3" s="1"/>
  <c r="L278" i="3"/>
  <c r="N278" i="3" s="1"/>
  <c r="V278" i="3" s="1"/>
  <c r="K270" i="3"/>
  <c r="M270" i="3" s="1"/>
  <c r="U270" i="3" s="1"/>
  <c r="L270" i="3"/>
  <c r="N270" i="3" s="1"/>
  <c r="V270" i="3" s="1"/>
  <c r="K280" i="3"/>
  <c r="M280" i="3" s="1"/>
  <c r="U280" i="3" s="1"/>
  <c r="L280" i="3"/>
  <c r="N280" i="3" s="1"/>
  <c r="V280" i="3" s="1"/>
  <c r="L272" i="3"/>
  <c r="N272" i="3" s="1"/>
  <c r="V272" i="3" s="1"/>
  <c r="K272" i="3"/>
  <c r="M272" i="3" s="1"/>
  <c r="U272" i="3" s="1"/>
  <c r="L265" i="3"/>
  <c r="N265" i="3" s="1"/>
  <c r="V265" i="3" s="1"/>
  <c r="K265" i="3"/>
  <c r="M265" i="3" s="1"/>
  <c r="U265" i="3" s="1"/>
  <c r="L269" i="6"/>
  <c r="N269" i="6" s="1"/>
  <c r="V269" i="6" s="1"/>
  <c r="K269" i="6"/>
  <c r="M269" i="6" s="1"/>
  <c r="U269" i="6" s="1"/>
  <c r="L268" i="6"/>
  <c r="N268" i="6" s="1"/>
  <c r="V268" i="6" s="1"/>
  <c r="K268" i="6"/>
  <c r="M268" i="6" s="1"/>
  <c r="U268" i="6" s="1"/>
  <c r="K277" i="6"/>
  <c r="M277" i="6" s="1"/>
  <c r="U277" i="6" s="1"/>
  <c r="L277" i="6"/>
  <c r="N277" i="6" s="1"/>
  <c r="V277" i="6" s="1"/>
  <c r="L270" i="6"/>
  <c r="N270" i="6" s="1"/>
  <c r="V270" i="6" s="1"/>
  <c r="K270" i="6"/>
  <c r="M270" i="6" s="1"/>
  <c r="U270" i="6" s="1"/>
  <c r="L278" i="6"/>
  <c r="N278" i="6" s="1"/>
  <c r="V278" i="6" s="1"/>
  <c r="K278" i="6"/>
  <c r="M278" i="6" s="1"/>
  <c r="U278" i="6" s="1"/>
  <c r="L264" i="6"/>
  <c r="N264" i="6" s="1"/>
  <c r="V264" i="6" s="1"/>
  <c r="K264" i="6"/>
  <c r="M264" i="6" s="1"/>
  <c r="U264" i="6" s="1"/>
  <c r="K271" i="6"/>
  <c r="M271" i="6" s="1"/>
  <c r="U271" i="6" s="1"/>
  <c r="L271" i="6"/>
  <c r="N271" i="6" s="1"/>
  <c r="V271" i="6" s="1"/>
  <c r="L279" i="6"/>
  <c r="N279" i="6" s="1"/>
  <c r="V279" i="6" s="1"/>
  <c r="K279" i="6"/>
  <c r="M279" i="6" s="1"/>
  <c r="U279" i="6" s="1"/>
  <c r="K272" i="6"/>
  <c r="M272" i="6" s="1"/>
  <c r="U272" i="6" s="1"/>
  <c r="L272" i="6"/>
  <c r="N272" i="6" s="1"/>
  <c r="V272" i="6" s="1"/>
  <c r="L280" i="6"/>
  <c r="N280" i="6" s="1"/>
  <c r="V280" i="6" s="1"/>
  <c r="K280" i="6"/>
  <c r="M280" i="6" s="1"/>
  <c r="U280" i="6" s="1"/>
  <c r="S264" i="5"/>
  <c r="K271" i="3"/>
  <c r="M271" i="3" s="1"/>
  <c r="U271" i="3" s="1"/>
  <c r="L271" i="3"/>
  <c r="N271" i="3" s="1"/>
  <c r="V271" i="3" s="1"/>
  <c r="L279" i="3"/>
  <c r="N279" i="3" s="1"/>
  <c r="V279" i="3" s="1"/>
  <c r="K279" i="3"/>
  <c r="M279" i="3" s="1"/>
  <c r="U279" i="3" s="1"/>
  <c r="K269" i="3"/>
  <c r="M269" i="3" s="1"/>
  <c r="U269" i="3" s="1"/>
  <c r="L269" i="3"/>
  <c r="N269" i="3" s="1"/>
  <c r="V269" i="3" s="1"/>
  <c r="L277" i="3"/>
  <c r="N277" i="3" s="1"/>
  <c r="V277" i="3" s="1"/>
  <c r="K277" i="3"/>
  <c r="M277" i="3" s="1"/>
  <c r="U277" i="3" s="1"/>
  <c r="K282" i="3"/>
  <c r="M282" i="3" s="1"/>
  <c r="U282" i="3" s="1"/>
  <c r="L282" i="3"/>
  <c r="N282" i="3" s="1"/>
  <c r="V282" i="3" s="1"/>
  <c r="L274" i="3"/>
  <c r="N274" i="3" s="1"/>
  <c r="V274" i="3" s="1"/>
  <c r="K274" i="3"/>
  <c r="M274" i="3" s="1"/>
  <c r="U274" i="3" s="1"/>
  <c r="K266" i="3"/>
  <c r="M266" i="3" s="1"/>
  <c r="U266" i="3" s="1"/>
  <c r="L266" i="3"/>
  <c r="N266" i="3" s="1"/>
  <c r="V266" i="3" s="1"/>
  <c r="K264" i="3"/>
  <c r="M264" i="3" s="1"/>
  <c r="U264" i="3" s="1"/>
  <c r="L264" i="3"/>
  <c r="N264" i="3" s="1"/>
  <c r="V264" i="3" s="1"/>
  <c r="K276" i="3"/>
  <c r="M276" i="3" s="1"/>
  <c r="U276" i="3" s="1"/>
  <c r="L276" i="3"/>
  <c r="N276" i="3" s="1"/>
  <c r="V276" i="3" s="1"/>
  <c r="K268" i="3"/>
  <c r="M268" i="3" s="1"/>
  <c r="U268" i="3" s="1"/>
  <c r="L268" i="3"/>
  <c r="N268" i="3" s="1"/>
  <c r="V268" i="3" s="1"/>
  <c r="K265" i="6"/>
  <c r="M265" i="6" s="1"/>
  <c r="U265" i="6" s="1"/>
  <c r="L265" i="6"/>
  <c r="N265" i="6" s="1"/>
  <c r="V265" i="6" s="1"/>
  <c r="L273" i="6"/>
  <c r="N273" i="6" s="1"/>
  <c r="V273" i="6" s="1"/>
  <c r="K273" i="6"/>
  <c r="M273" i="6" s="1"/>
  <c r="U273" i="6" s="1"/>
  <c r="K281" i="6"/>
  <c r="M281" i="6" s="1"/>
  <c r="U281" i="6" s="1"/>
  <c r="L281" i="6"/>
  <c r="N281" i="6" s="1"/>
  <c r="V281" i="6" s="1"/>
  <c r="K274" i="6"/>
  <c r="M274" i="6" s="1"/>
  <c r="U274" i="6" s="1"/>
  <c r="L274" i="6"/>
  <c r="N274" i="6" s="1"/>
  <c r="V274" i="6" s="1"/>
  <c r="L282" i="6"/>
  <c r="N282" i="6" s="1"/>
  <c r="V282" i="6" s="1"/>
  <c r="K282" i="6"/>
  <c r="M282" i="6" s="1"/>
  <c r="U282" i="6" s="1"/>
  <c r="L267" i="6"/>
  <c r="N267" i="6" s="1"/>
  <c r="V267" i="6" s="1"/>
  <c r="K267" i="6"/>
  <c r="M267" i="6" s="1"/>
  <c r="U267" i="6" s="1"/>
  <c r="L266" i="6"/>
  <c r="N266" i="6" s="1"/>
  <c r="V266" i="6" s="1"/>
  <c r="K266" i="6"/>
  <c r="M266" i="6" s="1"/>
  <c r="U266" i="6" s="1"/>
  <c r="L275" i="6"/>
  <c r="N275" i="6" s="1"/>
  <c r="V275" i="6" s="1"/>
  <c r="K275" i="6"/>
  <c r="M275" i="6" s="1"/>
  <c r="U275" i="6" s="1"/>
  <c r="L283" i="6"/>
  <c r="N283" i="6" s="1"/>
  <c r="V283" i="6" s="1"/>
  <c r="K283" i="6"/>
  <c r="M283" i="6" s="1"/>
  <c r="U283" i="6" s="1"/>
  <c r="K276" i="6"/>
  <c r="M276" i="6" s="1"/>
  <c r="U276" i="6" s="1"/>
  <c r="L276" i="6"/>
  <c r="N276" i="6" s="1"/>
  <c r="V276" i="6" s="1"/>
  <c r="Z180" i="6" l="1"/>
  <c r="Y201" i="3"/>
  <c r="Y201" i="6"/>
  <c r="Z201" i="3"/>
  <c r="Z201" i="6"/>
  <c r="S264" i="6"/>
  <c r="W264" i="3"/>
  <c r="W264" i="6"/>
  <c r="S264" i="3"/>
  <c r="Y264" i="3" s="1"/>
  <c r="T264" i="6"/>
  <c r="T264" i="3"/>
  <c r="X264" i="6"/>
  <c r="X264" i="3"/>
  <c r="Y264" i="6" l="1"/>
  <c r="Z264" i="6"/>
  <c r="Z264" i="3"/>
</calcChain>
</file>

<file path=xl/sharedStrings.xml><?xml version="1.0" encoding="utf-8"?>
<sst xmlns="http://schemas.openxmlformats.org/spreadsheetml/2006/main" count="273" uniqueCount="113">
  <si>
    <t>Α Τριμ. 2010</t>
  </si>
  <si>
    <t>Β Τριμ. 2010</t>
  </si>
  <si>
    <t>Γ Τριμ. 2010</t>
  </si>
  <si>
    <t>Δ Τριμ. 2010</t>
  </si>
  <si>
    <t>Α Τριμ. 2011</t>
  </si>
  <si>
    <t>Β Τριμ. 2011</t>
  </si>
  <si>
    <t>Γ Τριμ. 2011</t>
  </si>
  <si>
    <t>Δ Τριμ. 2011</t>
  </si>
  <si>
    <t>Α Τριμ. 2012</t>
  </si>
  <si>
    <t>Β Τριμ. 2012</t>
  </si>
  <si>
    <t>Γ Τριμ. 2012</t>
  </si>
  <si>
    <t>Δ Τριμ. 2012</t>
  </si>
  <si>
    <t>Α Τριμ. 2013</t>
  </si>
  <si>
    <t>Β Τριμ. 2013</t>
  </si>
  <si>
    <t>Απόλυτο</t>
  </si>
  <si>
    <t>Ειδικό</t>
  </si>
  <si>
    <t>Αγοραίο Κόστος Φ/Β πλαισίων</t>
  </si>
  <si>
    <t>Λοιπο σύστημα (BOS)</t>
  </si>
  <si>
    <t>Σύνολο κόστους</t>
  </si>
  <si>
    <t>Φ/Β πλαίσια 100kW</t>
  </si>
  <si>
    <t>Φ/Β πλαίσια 80kW</t>
  </si>
  <si>
    <t>Σύνδεση με το δίκτυο</t>
  </si>
  <si>
    <t>Διαμόρφωση Γηπέδου</t>
  </si>
  <si>
    <t>Μελέτες και Αδειοδότηση</t>
  </si>
  <si>
    <t>ΔΣ - Μέση ισχύς έργου 100kW - Σταθερό Σύστημα</t>
  </si>
  <si>
    <t>ΜΔΝ - Μέση ισχύς έργου 80kW - Σταθερό Σύστημα</t>
  </si>
  <si>
    <t>ΜΗ ΔΙΑΣΥΝΔΕΔΕΜΕΝΟ ΣΥΣΤΗΜΑ</t>
  </si>
  <si>
    <t>XE</t>
  </si>
  <si>
    <t>ME</t>
  </si>
  <si>
    <t>Πρόταση</t>
  </si>
  <si>
    <t>Α Τριμ. 2009</t>
  </si>
  <si>
    <t>B Τριμ. 2009</t>
  </si>
  <si>
    <t>Γ Τριμ. 2009</t>
  </si>
  <si>
    <t>Δ Τριμ. 2009</t>
  </si>
  <si>
    <t>ΔΙΑΣΥΝΔΕΔΕΜΕΝΟ ΣΥΣΤΗΜΑ</t>
  </si>
  <si>
    <t>Τρέχον</t>
  </si>
  <si>
    <t>P≤100 kW</t>
  </si>
  <si>
    <t>Ετήσια πτώση απόδοσης</t>
  </si>
  <si>
    <t>Ετήσια αύξηση τιμής πώλησης</t>
  </si>
  <si>
    <t>Ετήσια αύξηση εξόδων</t>
  </si>
  <si>
    <t>Έτος</t>
  </si>
  <si>
    <t>Αποσβέσεις</t>
  </si>
  <si>
    <t>Φορολογικός συντελεστής</t>
  </si>
  <si>
    <t>Επιχορήγηση</t>
  </si>
  <si>
    <t>Συντήρηση</t>
  </si>
  <si>
    <t>Επιχορήγηση Ν.3299</t>
  </si>
  <si>
    <t xml:space="preserve">Ασφάλιση </t>
  </si>
  <si>
    <t>Ενοίκια</t>
  </si>
  <si>
    <t>Λοιπά έξοδα (Λογιστικά, Ασφαλιστικά)</t>
  </si>
  <si>
    <t>Τόκοι Βραχυπρόθεσμου έναντι Επιχορήγησης</t>
  </si>
  <si>
    <t>Κόστος Κατασκευής Μείον Επιδότησης (ME)</t>
  </si>
  <si>
    <t>Κόστος Κατασκευής (XE)</t>
  </si>
  <si>
    <t>Πωλήσεις (ΧΕ)</t>
  </si>
  <si>
    <t>Πωλήσεις (ΜΕ)</t>
  </si>
  <si>
    <t>Φόρος (ΧΕ)</t>
  </si>
  <si>
    <t>Φόρος (ΜΕ)</t>
  </si>
  <si>
    <t>Χρηματοροή (XE)</t>
  </si>
  <si>
    <t>Χρηματοροή (ME)</t>
  </si>
  <si>
    <t>Παραγωγή Ενέργειας</t>
  </si>
  <si>
    <t>Κατηγορία ΧΕ</t>
  </si>
  <si>
    <t>Κατηγορία ΜΕ</t>
  </si>
  <si>
    <t>Ενοίκιο γης 4 στρεμμάτων</t>
  </si>
  <si>
    <t>Κατηγορία Κόστους</t>
  </si>
  <si>
    <t>Καθυστέρηση εκταμίευσης έργου 2010</t>
  </si>
  <si>
    <t>Project IRR 20 ετών (XE)</t>
  </si>
  <si>
    <t>Project IRR 20 ετών (ME)</t>
  </si>
  <si>
    <t>Κατηγορία</t>
  </si>
  <si>
    <t>Χρηματοροές ΜΔΝ Ισχύον</t>
  </si>
  <si>
    <r>
      <t xml:space="preserve">Παράμετροι επένδυσης - </t>
    </r>
    <r>
      <rPr>
        <b/>
        <sz val="11"/>
        <color rgb="FFC00000"/>
        <rFont val="Calibri"/>
        <family val="2"/>
        <charset val="161"/>
        <scheme val="minor"/>
      </rPr>
      <t>Σενάριο ΜΔΝ Ισχύον</t>
    </r>
  </si>
  <si>
    <t>Χρηματοροές ΔΣ Ισχύον</t>
  </si>
  <si>
    <t>IRR ΔΣ Ισχύον</t>
  </si>
  <si>
    <t>Διαφορά ΜΔΝ</t>
  </si>
  <si>
    <r>
      <t xml:space="preserve">Παράμετροι επένδυσης - </t>
    </r>
    <r>
      <rPr>
        <b/>
        <sz val="11"/>
        <color rgb="FFC00000"/>
        <rFont val="Calibri"/>
        <family val="2"/>
        <charset val="161"/>
        <scheme val="minor"/>
      </rPr>
      <t>Σενάριο ΔΣ Ισχύον</t>
    </r>
  </si>
  <si>
    <t>Λακωνία (Σκάλα)</t>
  </si>
  <si>
    <t>Μεσσηνία (Καλαμάτα)</t>
  </si>
  <si>
    <t>ΔΣ</t>
  </si>
  <si>
    <t>Σύστημα</t>
  </si>
  <si>
    <t>Περιοχή</t>
  </si>
  <si>
    <t>Παραγωγή PVGIS</t>
  </si>
  <si>
    <t>Αργολίδα (Κρανίδι)</t>
  </si>
  <si>
    <t>Ηλεία (Αμαλιάδα)</t>
  </si>
  <si>
    <t>Αττική (Μέγαρα)</t>
  </si>
  <si>
    <t>Βοιωτία (Θήβα)</t>
  </si>
  <si>
    <t>Θεσσαλία (Λάρισα)</t>
  </si>
  <si>
    <t>Μακεδονία (Κιλκίς)</t>
  </si>
  <si>
    <t>Μακεδονία (Ξάνθη)</t>
  </si>
  <si>
    <t>Χίος</t>
  </si>
  <si>
    <t>ΜΔΝ</t>
  </si>
  <si>
    <t>Λέσβος</t>
  </si>
  <si>
    <t>Νάξος</t>
  </si>
  <si>
    <t>Ρόδος (Σάλακος)</t>
  </si>
  <si>
    <t>Χανιά (Ακρωτήρι)</t>
  </si>
  <si>
    <t>Ηράκλειο (Αρκαλοχώρι)</t>
  </si>
  <si>
    <t>Λασίθι (Σητεία)</t>
  </si>
  <si>
    <t>Ρέθυμνο (Πέραμα)</t>
  </si>
  <si>
    <t>Μέσος Όρος ΔΣ</t>
  </si>
  <si>
    <t>Μέσος Όρος ΜΔΝ</t>
  </si>
  <si>
    <t>Χρηματοροές ΜΔΝ Πρόταση</t>
  </si>
  <si>
    <r>
      <t xml:space="preserve">Παράμετροι επένδυσης - </t>
    </r>
    <r>
      <rPr>
        <b/>
        <sz val="11"/>
        <color rgb="FFC00000"/>
        <rFont val="Calibri"/>
        <family val="2"/>
        <charset val="161"/>
        <scheme val="minor"/>
      </rPr>
      <t>Σενάριο ΜΔΝ Πρόταση</t>
    </r>
  </si>
  <si>
    <t>Κόστος κεφαλαίου κίνησης (επιτόκιο)</t>
  </si>
  <si>
    <t>Συντήρηση σταθερού συστήματος</t>
  </si>
  <si>
    <t>Μέση ισχύς έργου</t>
  </si>
  <si>
    <t>Παραγωγή αναφοράς (kWh/kW)</t>
  </si>
  <si>
    <t>Νέα Διαφορά ΜΔΝ</t>
  </si>
  <si>
    <t>Διαφορά Κόστους κατασκευής μεταξύ ΜΔΝ - ΔΣ</t>
  </si>
  <si>
    <t>Πραγματικό Ποσοστό Επιδότησης ΜΔΝ</t>
  </si>
  <si>
    <t>Λογιστικό (κατά νόμον) Ποσοστό Επιδότησης ΜΔΝ</t>
  </si>
  <si>
    <t>IRR ΜΔΝ Ισχύον</t>
  </si>
  <si>
    <t>IRR ΜΔΝ Πρόταση</t>
  </si>
  <si>
    <t>ΣΧΕΔΙΟ ΝΟΜΟΥ</t>
  </si>
  <si>
    <t>ΠΡΟΤΑΣΗ ΣΠΕΦ</t>
  </si>
  <si>
    <t>ΨΗΦΙΣΘΕΝ</t>
  </si>
  <si>
    <t>Διαφορά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</si>
</sst>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\ &quot;€/Wp&quot;"/>
    <numFmt numFmtId="165" formatCode="0.0%"/>
    <numFmt numFmtId="166" formatCode="_-* #,##0\ &quot;€&quot;_-;\-* #,##0\ &quot;€&quot;_-;_-* &quot;-&quot;??\ &quot;€&quot;_-;_-@_-"/>
    <numFmt numFmtId="167" formatCode="0.00\ \k\W"/>
    <numFmt numFmtId="168" formatCode="#,##0.00\ \M\W\h"/>
    <numFmt numFmtId="169" formatCode="0\ &quot;έτη&quot;"/>
  </numFmts>
  <fonts count="25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2.1"/>
      <color rgb="FF000000"/>
      <name val="Calibri"/>
      <family val="2"/>
      <charset val="161"/>
    </font>
    <font>
      <sz val="11"/>
      <name val="Calibri"/>
      <family val="2"/>
      <charset val="161"/>
      <scheme val="minor"/>
    </font>
    <font>
      <b/>
      <sz val="11"/>
      <color rgb="FFC00000"/>
      <name val="Calibri"/>
      <family val="2"/>
      <charset val="161"/>
      <scheme val="minor"/>
    </font>
    <font>
      <b/>
      <sz val="12.1"/>
      <color rgb="FF000000"/>
      <name val="Calibri"/>
      <family val="2"/>
      <charset val="161"/>
    </font>
    <font>
      <sz val="10"/>
      <color theme="1"/>
      <name val="Arial"/>
      <family val="2"/>
      <charset val="161"/>
    </font>
    <font>
      <sz val="12.1"/>
      <color rgb="FFCC0000"/>
      <name val="Calibri"/>
      <family val="2"/>
      <charset val="161"/>
    </font>
    <font>
      <sz val="12.1"/>
      <color rgb="FFC00000"/>
      <name val="Calibri"/>
      <family val="2"/>
      <charset val="161"/>
    </font>
    <font>
      <b/>
      <sz val="12.1"/>
      <color rgb="FFCC0000"/>
      <name val="Calibri"/>
      <family val="2"/>
      <charset val="161"/>
    </font>
    <font>
      <b/>
      <sz val="14"/>
      <color theme="9" tint="-0.499984740745262"/>
      <name val="Century Gothic"/>
      <family val="2"/>
      <charset val="161"/>
    </font>
    <font>
      <sz val="11"/>
      <color theme="1"/>
      <name val="Century Gothic"/>
      <family val="2"/>
      <charset val="161"/>
    </font>
    <font>
      <sz val="11"/>
      <color theme="1"/>
      <name val="Arial"/>
      <family val="2"/>
      <charset val="161"/>
    </font>
    <font>
      <b/>
      <sz val="13"/>
      <color theme="9"/>
      <name val="Arial"/>
      <family val="2"/>
      <charset val="161"/>
    </font>
    <font>
      <sz val="11"/>
      <color rgb="FF000000"/>
      <name val="Calibri"/>
      <family val="2"/>
      <charset val="161"/>
      <scheme val="minor"/>
    </font>
    <font>
      <i/>
      <sz val="12.1"/>
      <color theme="0" tint="-0.249977111117893"/>
      <name val="Calibri"/>
      <family val="2"/>
      <charset val="161"/>
    </font>
    <font>
      <i/>
      <sz val="11"/>
      <color theme="0" tint="-0.14999847407452621"/>
      <name val="Calibri"/>
      <family val="2"/>
      <charset val="161"/>
      <scheme val="minor"/>
    </font>
    <font>
      <sz val="11"/>
      <color theme="0" tint="-0.14999847407452621"/>
      <name val="Calibri"/>
      <family val="2"/>
      <charset val="161"/>
      <scheme val="minor"/>
    </font>
    <font>
      <b/>
      <i/>
      <sz val="11"/>
      <color theme="1"/>
      <name val="Calibri"/>
      <family val="2"/>
      <charset val="161"/>
      <scheme val="minor"/>
    </font>
    <font>
      <b/>
      <i/>
      <sz val="11"/>
      <name val="Calibri"/>
      <family val="2"/>
      <charset val="161"/>
      <scheme val="minor"/>
    </font>
    <font>
      <sz val="11"/>
      <color theme="2" tint="-0.249977111117893"/>
      <name val="Calibri"/>
      <family val="2"/>
      <charset val="161"/>
      <scheme val="minor"/>
    </font>
    <font>
      <b/>
      <i/>
      <sz val="11"/>
      <color theme="2" tint="-0.249977111117893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2.1"/>
      <name val="Calibri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33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9" tint="-0.24994659260841701"/>
      </bottom>
      <diagonal/>
    </border>
    <border>
      <left/>
      <right/>
      <top/>
      <bottom style="thick">
        <color theme="9" tint="0.399945066682943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" fontId="11" fillId="0" borderId="5" applyFill="0" applyAlignment="0" applyProtection="0"/>
    <xf numFmtId="0" fontId="12" fillId="0" borderId="0"/>
    <xf numFmtId="9" fontId="13" fillId="0" borderId="0" applyFont="0" applyFill="0" applyBorder="0" applyAlignment="0" applyProtection="0"/>
    <xf numFmtId="0" fontId="14" fillId="0" borderId="6" applyNumberFormat="0" applyFill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1" xfId="1" applyFont="1" applyBorder="1"/>
    <xf numFmtId="0" fontId="0" fillId="0" borderId="0" xfId="0" applyBorder="1"/>
    <xf numFmtId="0" fontId="3" fillId="0" borderId="1" xfId="0" applyFont="1" applyBorder="1"/>
    <xf numFmtId="165" fontId="5" fillId="0" borderId="1" xfId="2" applyNumberFormat="1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Font="1"/>
    <xf numFmtId="43" fontId="15" fillId="0" borderId="0" xfId="4" applyNumberFormat="1" applyFont="1" applyFill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42" fontId="15" fillId="0" borderId="0" xfId="7" applyNumberFormat="1" applyFont="1" applyFill="1" applyBorder="1"/>
    <xf numFmtId="42" fontId="0" fillId="0" borderId="0" xfId="0" applyNumberFormat="1" applyFont="1"/>
    <xf numFmtId="166" fontId="0" fillId="0" borderId="0" xfId="1" applyNumberFormat="1" applyFont="1" applyAlignment="1">
      <alignment horizontal="center"/>
    </xf>
    <xf numFmtId="166" fontId="15" fillId="0" borderId="0" xfId="1" applyNumberFormat="1" applyFont="1" applyFill="1" applyBorder="1" applyAlignment="1">
      <alignment horizontal="center"/>
    </xf>
    <xf numFmtId="166" fontId="17" fillId="0" borderId="0" xfId="0" applyNumberFormat="1" applyFont="1"/>
    <xf numFmtId="43" fontId="17" fillId="0" borderId="0" xfId="0" applyNumberFormat="1" applyFont="1"/>
    <xf numFmtId="43" fontId="18" fillId="0" borderId="0" xfId="0" applyNumberFormat="1" applyFont="1" applyFill="1"/>
    <xf numFmtId="0" fontId="2" fillId="0" borderId="1" xfId="0" applyFont="1" applyBorder="1" applyAlignment="1">
      <alignment horizontal="center" vertical="center" textRotation="90" wrapText="1"/>
    </xf>
    <xf numFmtId="166" fontId="2" fillId="0" borderId="1" xfId="1" applyNumberFormat="1" applyFont="1" applyBorder="1" applyAlignment="1">
      <alignment horizontal="center" vertical="center" textRotation="90" wrapText="1"/>
    </xf>
    <xf numFmtId="4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/>
    <xf numFmtId="42" fontId="15" fillId="0" borderId="1" xfId="7" applyNumberFormat="1" applyFont="1" applyFill="1" applyBorder="1"/>
    <xf numFmtId="43" fontId="15" fillId="0" borderId="1" xfId="4" applyNumberFormat="1" applyFont="1" applyFill="1" applyBorder="1"/>
    <xf numFmtId="166" fontId="15" fillId="0" borderId="1" xfId="1" applyNumberFormat="1" applyFont="1" applyFill="1" applyBorder="1" applyAlignment="1">
      <alignment horizontal="center"/>
    </xf>
    <xf numFmtId="42" fontId="15" fillId="0" borderId="1" xfId="1" applyNumberFormat="1" applyFont="1" applyFill="1" applyBorder="1" applyAlignment="1">
      <alignment horizontal="right"/>
    </xf>
    <xf numFmtId="166" fontId="0" fillId="0" borderId="1" xfId="0" applyNumberFormat="1" applyFont="1" applyBorder="1"/>
    <xf numFmtId="0" fontId="15" fillId="0" borderId="1" xfId="4" applyFont="1" applyFill="1" applyBorder="1" applyAlignment="1">
      <alignment horizontal="center"/>
    </xf>
    <xf numFmtId="0" fontId="0" fillId="0" borderId="8" xfId="0" applyFont="1" applyBorder="1"/>
    <xf numFmtId="0" fontId="0" fillId="0" borderId="0" xfId="0" applyFont="1" applyBorder="1"/>
    <xf numFmtId="42" fontId="0" fillId="0" borderId="0" xfId="0" applyNumberFormat="1" applyFont="1" applyAlignment="1">
      <alignment horizontal="center"/>
    </xf>
    <xf numFmtId="10" fontId="2" fillId="0" borderId="1" xfId="0" applyNumberFormat="1" applyFont="1" applyBorder="1" applyAlignment="1">
      <alignment horizontal="center"/>
    </xf>
    <xf numFmtId="42" fontId="15" fillId="0" borderId="1" xfId="7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4" fontId="0" fillId="0" borderId="0" xfId="1" applyFont="1" applyAlignment="1">
      <alignment horizontal="left" indent="1"/>
    </xf>
    <xf numFmtId="44" fontId="0" fillId="0" borderId="1" xfId="1" applyFont="1" applyBorder="1" applyAlignment="1">
      <alignment horizontal="left" indent="1"/>
    </xf>
    <xf numFmtId="44" fontId="15" fillId="0" borderId="1" xfId="1" applyFont="1" applyFill="1" applyBorder="1" applyAlignment="1">
      <alignment horizontal="left" indent="1"/>
    </xf>
    <xf numFmtId="44" fontId="0" fillId="0" borderId="0" xfId="1" applyFont="1" applyBorder="1" applyAlignment="1">
      <alignment horizontal="left" indent="1"/>
    </xf>
    <xf numFmtId="44" fontId="2" fillId="0" borderId="1" xfId="1" applyFont="1" applyBorder="1" applyAlignment="1">
      <alignment horizontal="center" vertical="center" textRotation="90" wrapText="1"/>
    </xf>
    <xf numFmtId="0" fontId="15" fillId="0" borderId="0" xfId="4" applyFont="1" applyFill="1" applyBorder="1" applyAlignment="1">
      <alignment horizontal="center"/>
    </xf>
    <xf numFmtId="44" fontId="15" fillId="0" borderId="0" xfId="1" applyFont="1" applyFill="1" applyBorder="1" applyAlignment="1">
      <alignment horizontal="left" indent="1"/>
    </xf>
    <xf numFmtId="42" fontId="15" fillId="0" borderId="0" xfId="7" applyNumberFormat="1" applyFont="1" applyFill="1" applyBorder="1" applyAlignment="1">
      <alignment horizontal="center"/>
    </xf>
    <xf numFmtId="168" fontId="2" fillId="0" borderId="1" xfId="0" applyNumberFormat="1" applyFont="1" applyBorder="1" applyAlignment="1">
      <alignment horizontal="center" vertical="center" textRotation="90" wrapText="1"/>
    </xf>
    <xf numFmtId="168" fontId="15" fillId="0" borderId="1" xfId="5" applyNumberFormat="1" applyFont="1" applyFill="1" applyBorder="1" applyAlignment="1">
      <alignment horizontal="center"/>
    </xf>
    <xf numFmtId="168" fontId="0" fillId="0" borderId="0" xfId="0" applyNumberFormat="1" applyFont="1" applyBorder="1"/>
    <xf numFmtId="168" fontId="15" fillId="0" borderId="0" xfId="5" applyNumberFormat="1" applyFont="1" applyFill="1" applyBorder="1" applyAlignment="1">
      <alignment horizontal="center"/>
    </xf>
    <xf numFmtId="168" fontId="0" fillId="0" borderId="0" xfId="0" applyNumberFormat="1" applyFont="1"/>
    <xf numFmtId="44" fontId="19" fillId="0" borderId="0" xfId="1" applyFont="1" applyAlignment="1">
      <alignment horizontal="left" indent="1"/>
    </xf>
    <xf numFmtId="167" fontId="20" fillId="0" borderId="1" xfId="1" applyNumberFormat="1" applyFont="1" applyBorder="1" applyAlignment="1">
      <alignment horizontal="right"/>
    </xf>
    <xf numFmtId="44" fontId="20" fillId="0" borderId="1" xfId="1" applyFont="1" applyBorder="1" applyAlignment="1">
      <alignment horizontal="left" indent="1"/>
    </xf>
    <xf numFmtId="3" fontId="20" fillId="0" borderId="1" xfId="1" applyNumberFormat="1" applyFont="1" applyBorder="1" applyAlignment="1">
      <alignment horizontal="right"/>
    </xf>
    <xf numFmtId="0" fontId="15" fillId="0" borderId="4" xfId="4" applyFont="1" applyFill="1" applyBorder="1" applyAlignment="1">
      <alignment horizontal="center"/>
    </xf>
    <xf numFmtId="0" fontId="0" fillId="0" borderId="4" xfId="0" applyFont="1" applyBorder="1"/>
    <xf numFmtId="168" fontId="15" fillId="0" borderId="4" xfId="5" applyNumberFormat="1" applyFont="1" applyFill="1" applyBorder="1" applyAlignment="1">
      <alignment horizontal="center"/>
    </xf>
    <xf numFmtId="42" fontId="15" fillId="0" borderId="4" xfId="7" applyNumberFormat="1" applyFont="1" applyFill="1" applyBorder="1"/>
    <xf numFmtId="44" fontId="0" fillId="0" borderId="4" xfId="1" applyFont="1" applyBorder="1" applyAlignment="1">
      <alignment horizontal="left" indent="1"/>
    </xf>
    <xf numFmtId="44" fontId="15" fillId="0" borderId="4" xfId="1" applyFont="1" applyFill="1" applyBorder="1" applyAlignment="1">
      <alignment horizontal="left" indent="1"/>
    </xf>
    <xf numFmtId="43" fontId="15" fillId="0" borderId="4" xfId="4" applyNumberFormat="1" applyFont="1" applyFill="1" applyBorder="1"/>
    <xf numFmtId="166" fontId="15" fillId="0" borderId="4" xfId="1" applyNumberFormat="1" applyFont="1" applyFill="1" applyBorder="1" applyAlignment="1">
      <alignment horizontal="center"/>
    </xf>
    <xf numFmtId="42" fontId="15" fillId="0" borderId="4" xfId="7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43" fontId="17" fillId="0" borderId="0" xfId="0" applyNumberFormat="1" applyFont="1" applyBorder="1"/>
    <xf numFmtId="43" fontId="18" fillId="0" borderId="0" xfId="0" applyNumberFormat="1" applyFont="1" applyFill="1" applyBorder="1"/>
    <xf numFmtId="166" fontId="17" fillId="0" borderId="0" xfId="0" applyNumberFormat="1" applyFont="1" applyBorder="1"/>
    <xf numFmtId="44" fontId="20" fillId="2" borderId="1" xfId="1" applyFont="1" applyFill="1" applyBorder="1" applyAlignment="1">
      <alignment horizontal="right"/>
    </xf>
    <xf numFmtId="165" fontId="20" fillId="0" borderId="1" xfId="2" applyNumberFormat="1" applyFont="1" applyBorder="1" applyAlignment="1">
      <alignment horizontal="right"/>
    </xf>
    <xf numFmtId="165" fontId="20" fillId="2" borderId="1" xfId="2" applyNumberFormat="1" applyFont="1" applyFill="1" applyBorder="1" applyAlignment="1"/>
    <xf numFmtId="169" fontId="20" fillId="2" borderId="1" xfId="2" applyNumberFormat="1" applyFont="1" applyFill="1" applyBorder="1" applyAlignment="1"/>
    <xf numFmtId="0" fontId="0" fillId="5" borderId="1" xfId="0" applyFill="1" applyBorder="1"/>
    <xf numFmtId="0" fontId="0" fillId="3" borderId="1" xfId="0" applyFill="1" applyBorder="1"/>
    <xf numFmtId="0" fontId="2" fillId="6" borderId="1" xfId="0" applyFont="1" applyFill="1" applyBorder="1"/>
    <xf numFmtId="43" fontId="2" fillId="6" borderId="1" xfId="8" applyFont="1" applyFill="1" applyBorder="1"/>
    <xf numFmtId="0" fontId="22" fillId="0" borderId="1" xfId="1" applyNumberFormat="1" applyFont="1" applyBorder="1" applyAlignment="1">
      <alignment horizontal="right" indent="1"/>
    </xf>
    <xf numFmtId="43" fontId="0" fillId="5" borderId="1" xfId="8" applyFont="1" applyFill="1" applyBorder="1"/>
    <xf numFmtId="43" fontId="0" fillId="3" borderId="1" xfId="8" applyFont="1" applyFill="1" applyBorder="1"/>
    <xf numFmtId="164" fontId="0" fillId="4" borderId="1" xfId="0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44" fontId="2" fillId="4" borderId="1" xfId="0" applyNumberFormat="1" applyFont="1" applyFill="1" applyBorder="1"/>
    <xf numFmtId="164" fontId="2" fillId="4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textRotation="90" wrapText="1"/>
    </xf>
    <xf numFmtId="9" fontId="0" fillId="0" borderId="1" xfId="2" applyFont="1" applyBorder="1" applyAlignment="1">
      <alignment horizontal="center"/>
    </xf>
    <xf numFmtId="168" fontId="5" fillId="0" borderId="8" xfId="0" applyNumberFormat="1" applyFont="1" applyBorder="1" applyAlignment="1">
      <alignment vertical="center"/>
    </xf>
    <xf numFmtId="166" fontId="2" fillId="0" borderId="4" xfId="1" applyNumberFormat="1" applyFont="1" applyBorder="1" applyAlignment="1">
      <alignment horizontal="center" vertical="center" textRotation="90" wrapText="1"/>
    </xf>
    <xf numFmtId="42" fontId="2" fillId="0" borderId="4" xfId="0" applyNumberFormat="1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43" fontId="17" fillId="0" borderId="1" xfId="0" applyNumberFormat="1" applyFont="1" applyBorder="1"/>
    <xf numFmtId="43" fontId="18" fillId="0" borderId="1" xfId="0" applyNumberFormat="1" applyFont="1" applyFill="1" applyBorder="1"/>
    <xf numFmtId="0" fontId="6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168" fontId="5" fillId="0" borderId="7" xfId="0" applyNumberFormat="1" applyFont="1" applyBorder="1" applyAlignment="1">
      <alignment horizontal="center" vertical="center"/>
    </xf>
    <xf numFmtId="168" fontId="5" fillId="0" borderId="8" xfId="0" applyNumberFormat="1" applyFont="1" applyBorder="1" applyAlignment="1">
      <alignment horizontal="center" vertical="center"/>
    </xf>
    <xf numFmtId="168" fontId="5" fillId="0" borderId="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1" fillId="0" borderId="7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165" fontId="24" fillId="0" borderId="1" xfId="2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9">
    <cellStyle name="Comma" xfId="8" builtinId="3"/>
    <cellStyle name="Comma 2" xfId="7"/>
    <cellStyle name="Currency" xfId="1" builtinId="4"/>
    <cellStyle name="Heading 1 2" xfId="3"/>
    <cellStyle name="Heading 2 2" xfId="6"/>
    <cellStyle name="Normal" xfId="0" builtinId="0"/>
    <cellStyle name="Normal 2" xfId="4"/>
    <cellStyle name="Percent" xfId="2" builtinId="5"/>
    <cellStyle name="Percent 2" xfId="5"/>
  </cellStyles>
  <dxfs count="0"/>
  <tableStyles count="0" defaultTableStyle="TableStyleMedium2" defaultPivotStyle="PivotStyleLight16"/>
  <colors>
    <mruColors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>
      <selection activeCell="B23" sqref="B23"/>
    </sheetView>
  </sheetViews>
  <sheetFormatPr defaultRowHeight="15" x14ac:dyDescent="0.25"/>
  <cols>
    <col min="1" max="1" width="13.42578125" customWidth="1"/>
    <col min="2" max="19" width="16.5703125" customWidth="1"/>
  </cols>
  <sheetData>
    <row r="1" spans="1:19" ht="18.75" x14ac:dyDescent="0.3">
      <c r="B1" s="125" t="s">
        <v>109</v>
      </c>
      <c r="C1" s="125"/>
      <c r="D1" s="125"/>
      <c r="E1" s="125"/>
      <c r="F1" s="125"/>
      <c r="G1" s="125"/>
      <c r="H1" s="125" t="s">
        <v>110</v>
      </c>
      <c r="I1" s="125"/>
      <c r="J1" s="125"/>
      <c r="K1" s="125"/>
      <c r="L1" s="125"/>
      <c r="M1" s="125"/>
      <c r="N1" s="125" t="s">
        <v>111</v>
      </c>
      <c r="O1" s="125"/>
      <c r="P1" s="125"/>
      <c r="Q1" s="125"/>
      <c r="R1" s="125"/>
      <c r="S1" s="125"/>
    </row>
    <row r="2" spans="1:19" ht="15.75" x14ac:dyDescent="0.25">
      <c r="A2" s="9"/>
      <c r="B2" s="111" t="s">
        <v>34</v>
      </c>
      <c r="C2" s="111"/>
      <c r="D2" s="111" t="s">
        <v>26</v>
      </c>
      <c r="E2" s="111"/>
      <c r="F2" s="111"/>
      <c r="G2" s="111"/>
      <c r="H2" s="111" t="s">
        <v>34</v>
      </c>
      <c r="I2" s="111"/>
      <c r="J2" s="103"/>
      <c r="K2" s="111" t="s">
        <v>26</v>
      </c>
      <c r="L2" s="111"/>
      <c r="M2" s="111"/>
      <c r="N2" s="111" t="s">
        <v>34</v>
      </c>
      <c r="O2" s="111"/>
      <c r="P2" s="111" t="s">
        <v>26</v>
      </c>
      <c r="Q2" s="111"/>
      <c r="R2" s="111"/>
      <c r="S2" s="111"/>
    </row>
    <row r="3" spans="1:19" ht="15.75" x14ac:dyDescent="0.25">
      <c r="A3" s="9"/>
      <c r="B3" s="111" t="s">
        <v>36</v>
      </c>
      <c r="C3" s="111"/>
      <c r="D3" s="111"/>
      <c r="E3" s="111"/>
      <c r="F3" s="111"/>
      <c r="G3" s="111"/>
      <c r="H3" s="111" t="s">
        <v>36</v>
      </c>
      <c r="I3" s="111"/>
      <c r="J3" s="111"/>
      <c r="K3" s="111"/>
      <c r="L3" s="111"/>
      <c r="M3" s="111"/>
      <c r="N3" s="111" t="s">
        <v>36</v>
      </c>
      <c r="O3" s="111"/>
      <c r="P3" s="111"/>
      <c r="Q3" s="111"/>
      <c r="R3" s="111"/>
      <c r="S3" s="111"/>
    </row>
    <row r="4" spans="1:19" ht="15.75" x14ac:dyDescent="0.25">
      <c r="A4" s="9"/>
      <c r="B4" s="103" t="s">
        <v>27</v>
      </c>
      <c r="C4" s="103" t="s">
        <v>28</v>
      </c>
      <c r="D4" s="128" t="s">
        <v>27</v>
      </c>
      <c r="E4" s="129"/>
      <c r="F4" s="128" t="s">
        <v>28</v>
      </c>
      <c r="G4" s="129"/>
      <c r="H4" s="103" t="s">
        <v>27</v>
      </c>
      <c r="I4" s="103" t="s">
        <v>28</v>
      </c>
      <c r="J4" s="128" t="s">
        <v>27</v>
      </c>
      <c r="K4" s="129"/>
      <c r="L4" s="128" t="s">
        <v>28</v>
      </c>
      <c r="M4" s="129"/>
      <c r="N4" s="103" t="s">
        <v>27</v>
      </c>
      <c r="O4" s="103" t="s">
        <v>28</v>
      </c>
      <c r="P4" s="128" t="s">
        <v>27</v>
      </c>
      <c r="Q4" s="129"/>
      <c r="R4" s="128" t="s">
        <v>28</v>
      </c>
      <c r="S4" s="129"/>
    </row>
    <row r="5" spans="1:19" ht="15.75" x14ac:dyDescent="0.25">
      <c r="A5" s="9"/>
      <c r="B5" s="103"/>
      <c r="C5" s="103"/>
      <c r="D5" s="103"/>
      <c r="E5" s="103" t="s">
        <v>112</v>
      </c>
      <c r="F5" s="103"/>
      <c r="G5" s="103" t="s">
        <v>112</v>
      </c>
      <c r="H5" s="103"/>
      <c r="I5" s="103"/>
      <c r="J5" s="103"/>
      <c r="K5" s="103" t="s">
        <v>112</v>
      </c>
      <c r="L5" s="103"/>
      <c r="M5" s="103" t="s">
        <v>112</v>
      </c>
      <c r="N5" s="103"/>
      <c r="O5" s="103"/>
      <c r="P5" s="103"/>
      <c r="Q5" s="103" t="s">
        <v>112</v>
      </c>
      <c r="R5" s="103"/>
      <c r="S5" s="103" t="s">
        <v>112</v>
      </c>
    </row>
    <row r="6" spans="1:19" ht="15.75" x14ac:dyDescent="0.25">
      <c r="A6" s="6" t="s">
        <v>30</v>
      </c>
      <c r="B6" s="21">
        <v>460</v>
      </c>
      <c r="C6" s="10">
        <v>440</v>
      </c>
      <c r="D6" s="126">
        <v>505</v>
      </c>
      <c r="E6" s="127">
        <f>(D6-B6)/B6</f>
        <v>9.7826086956521743E-2</v>
      </c>
      <c r="F6" s="10">
        <v>480</v>
      </c>
      <c r="G6" s="127">
        <f>(F6-C6)/C6</f>
        <v>9.0909090909090912E-2</v>
      </c>
      <c r="H6" s="21">
        <v>460</v>
      </c>
      <c r="I6" s="21">
        <v>460</v>
      </c>
      <c r="J6" s="21">
        <v>510</v>
      </c>
      <c r="K6" s="127">
        <f>(J6-H6)/H6</f>
        <v>0.10869565217391304</v>
      </c>
      <c r="L6" s="10">
        <v>500</v>
      </c>
      <c r="M6" s="127">
        <f>(L6-I6)/I6</f>
        <v>8.6956521739130432E-2</v>
      </c>
      <c r="N6" s="21">
        <v>460</v>
      </c>
      <c r="O6" s="10">
        <v>440</v>
      </c>
      <c r="P6" s="21">
        <v>510</v>
      </c>
      <c r="Q6" s="127">
        <f>(P6-N6)/N6</f>
        <v>0.10869565217391304</v>
      </c>
      <c r="R6" s="10">
        <v>480</v>
      </c>
      <c r="S6" s="127">
        <f>(R6-O6)/O6</f>
        <v>9.0909090909090912E-2</v>
      </c>
    </row>
    <row r="7" spans="1:19" ht="15.75" x14ac:dyDescent="0.25">
      <c r="A7" s="6" t="s">
        <v>31</v>
      </c>
      <c r="B7" s="21">
        <v>460</v>
      </c>
      <c r="C7" s="10">
        <v>430</v>
      </c>
      <c r="D7" s="126">
        <v>495</v>
      </c>
      <c r="E7" s="127">
        <f t="shared" ref="E7:E22" si="0">(D7-B7)/B7</f>
        <v>7.6086956521739135E-2</v>
      </c>
      <c r="F7" s="10">
        <v>460</v>
      </c>
      <c r="G7" s="127">
        <f t="shared" ref="G7:G22" si="1">(F7-C7)/C7</f>
        <v>6.9767441860465115E-2</v>
      </c>
      <c r="H7" s="21">
        <v>460</v>
      </c>
      <c r="I7" s="21">
        <v>460</v>
      </c>
      <c r="J7" s="21">
        <v>510</v>
      </c>
      <c r="K7" s="127">
        <f t="shared" ref="K7:K22" si="2">(J7-H7)/H7</f>
        <v>0.10869565217391304</v>
      </c>
      <c r="L7" s="10">
        <v>480</v>
      </c>
      <c r="M7" s="127">
        <f t="shared" ref="M7:M22" si="3">(L7-I7)/I7</f>
        <v>4.3478260869565216E-2</v>
      </c>
      <c r="N7" s="21">
        <v>460</v>
      </c>
      <c r="O7" s="10">
        <v>435</v>
      </c>
      <c r="P7" s="21">
        <v>510</v>
      </c>
      <c r="Q7" s="127">
        <f t="shared" ref="Q7:Q22" si="4">(P7-N7)/N7</f>
        <v>0.10869565217391304</v>
      </c>
      <c r="R7" s="10">
        <v>460</v>
      </c>
      <c r="S7" s="127">
        <f t="shared" ref="S7:S22" si="5">(R7-O7)/O7</f>
        <v>5.7471264367816091E-2</v>
      </c>
    </row>
    <row r="8" spans="1:19" ht="15.75" x14ac:dyDescent="0.25">
      <c r="A8" s="6" t="s">
        <v>32</v>
      </c>
      <c r="B8" s="21">
        <v>460</v>
      </c>
      <c r="C8" s="10">
        <v>410</v>
      </c>
      <c r="D8" s="126">
        <v>480</v>
      </c>
      <c r="E8" s="127">
        <f t="shared" si="0"/>
        <v>4.3478260869565216E-2</v>
      </c>
      <c r="F8" s="10">
        <v>420</v>
      </c>
      <c r="G8" s="127">
        <f t="shared" si="1"/>
        <v>2.4390243902439025E-2</v>
      </c>
      <c r="H8" s="21">
        <v>460</v>
      </c>
      <c r="I8" s="21">
        <v>460</v>
      </c>
      <c r="J8" s="21">
        <v>510</v>
      </c>
      <c r="K8" s="127">
        <f t="shared" si="2"/>
        <v>0.10869565217391304</v>
      </c>
      <c r="L8" s="10">
        <v>455</v>
      </c>
      <c r="M8" s="127">
        <f t="shared" si="3"/>
        <v>-1.0869565217391304E-2</v>
      </c>
      <c r="N8" s="21">
        <v>460</v>
      </c>
      <c r="O8" s="10">
        <v>430</v>
      </c>
      <c r="P8" s="21">
        <v>510</v>
      </c>
      <c r="Q8" s="127">
        <f t="shared" si="4"/>
        <v>0.10869565217391304</v>
      </c>
      <c r="R8" s="10">
        <v>430</v>
      </c>
      <c r="S8" s="127">
        <f t="shared" si="5"/>
        <v>0</v>
      </c>
    </row>
    <row r="9" spans="1:19" ht="15.75" x14ac:dyDescent="0.25">
      <c r="A9" s="6" t="s">
        <v>33</v>
      </c>
      <c r="B9" s="21">
        <v>460</v>
      </c>
      <c r="C9" s="10">
        <v>380</v>
      </c>
      <c r="D9" s="126">
        <v>460</v>
      </c>
      <c r="E9" s="127">
        <f t="shared" si="0"/>
        <v>0</v>
      </c>
      <c r="F9" s="10">
        <v>400</v>
      </c>
      <c r="G9" s="127">
        <f t="shared" si="1"/>
        <v>5.2631578947368418E-2</v>
      </c>
      <c r="H9" s="21">
        <v>460</v>
      </c>
      <c r="I9" s="10">
        <v>450</v>
      </c>
      <c r="J9" s="21">
        <v>510</v>
      </c>
      <c r="K9" s="127">
        <f t="shared" si="2"/>
        <v>0.10869565217391304</v>
      </c>
      <c r="L9" s="10">
        <v>430</v>
      </c>
      <c r="M9" s="127">
        <f t="shared" si="3"/>
        <v>-4.4444444444444446E-2</v>
      </c>
      <c r="N9" s="21">
        <v>460</v>
      </c>
      <c r="O9" s="10">
        <v>425</v>
      </c>
      <c r="P9" s="21">
        <v>510</v>
      </c>
      <c r="Q9" s="127">
        <f t="shared" si="4"/>
        <v>0.10869565217391304</v>
      </c>
      <c r="R9" s="10">
        <v>410</v>
      </c>
      <c r="S9" s="127">
        <f t="shared" si="5"/>
        <v>-3.5294117647058823E-2</v>
      </c>
    </row>
    <row r="10" spans="1:19" ht="15.75" x14ac:dyDescent="0.25">
      <c r="A10" s="6" t="s">
        <v>0</v>
      </c>
      <c r="B10" s="10">
        <v>440</v>
      </c>
      <c r="C10" s="10">
        <v>350</v>
      </c>
      <c r="D10" s="10">
        <v>440</v>
      </c>
      <c r="E10" s="127">
        <f t="shared" si="0"/>
        <v>0</v>
      </c>
      <c r="F10" s="10">
        <v>350</v>
      </c>
      <c r="G10" s="127">
        <f t="shared" si="1"/>
        <v>0</v>
      </c>
      <c r="H10" s="21">
        <v>460</v>
      </c>
      <c r="I10" s="10">
        <v>430</v>
      </c>
      <c r="J10" s="21">
        <v>510</v>
      </c>
      <c r="K10" s="127">
        <f t="shared" si="2"/>
        <v>0.10869565217391304</v>
      </c>
      <c r="L10" s="10">
        <v>410</v>
      </c>
      <c r="M10" s="127">
        <f t="shared" si="3"/>
        <v>-4.6511627906976744E-2</v>
      </c>
      <c r="N10" s="21">
        <v>460</v>
      </c>
      <c r="O10" s="10">
        <v>400</v>
      </c>
      <c r="P10" s="21">
        <v>510</v>
      </c>
      <c r="Q10" s="127">
        <f t="shared" si="4"/>
        <v>0.10869565217391304</v>
      </c>
      <c r="R10" s="10">
        <v>385</v>
      </c>
      <c r="S10" s="127">
        <f t="shared" si="5"/>
        <v>-3.7499999999999999E-2</v>
      </c>
    </row>
    <row r="11" spans="1:19" ht="15.75" x14ac:dyDescent="0.25">
      <c r="A11" s="6" t="s">
        <v>1</v>
      </c>
      <c r="B11" s="10">
        <v>420</v>
      </c>
      <c r="C11" s="10">
        <v>330</v>
      </c>
      <c r="D11" s="10">
        <v>420</v>
      </c>
      <c r="E11" s="127">
        <f t="shared" si="0"/>
        <v>0</v>
      </c>
      <c r="F11" s="10">
        <v>340</v>
      </c>
      <c r="G11" s="127">
        <f t="shared" si="1"/>
        <v>3.0303030303030304E-2</v>
      </c>
      <c r="H11" s="21">
        <v>460</v>
      </c>
      <c r="I11" s="10">
        <v>410</v>
      </c>
      <c r="J11" s="21">
        <v>510</v>
      </c>
      <c r="K11" s="127">
        <f t="shared" si="2"/>
        <v>0.10869565217391304</v>
      </c>
      <c r="L11" s="10">
        <v>390</v>
      </c>
      <c r="M11" s="127">
        <f t="shared" si="3"/>
        <v>-4.878048780487805E-2</v>
      </c>
      <c r="N11" s="21">
        <v>460</v>
      </c>
      <c r="O11" s="10">
        <v>380</v>
      </c>
      <c r="P11" s="10">
        <v>500</v>
      </c>
      <c r="Q11" s="127">
        <f t="shared" si="4"/>
        <v>8.6956521739130432E-2</v>
      </c>
      <c r="R11" s="10">
        <v>370</v>
      </c>
      <c r="S11" s="127">
        <f t="shared" si="5"/>
        <v>-2.6315789473684209E-2</v>
      </c>
    </row>
    <row r="12" spans="1:19" ht="15.75" x14ac:dyDescent="0.25">
      <c r="A12" s="6" t="s">
        <v>2</v>
      </c>
      <c r="B12" s="10">
        <v>415</v>
      </c>
      <c r="C12" s="10">
        <v>315</v>
      </c>
      <c r="D12" s="10">
        <v>415</v>
      </c>
      <c r="E12" s="127">
        <f t="shared" si="0"/>
        <v>0</v>
      </c>
      <c r="F12" s="10">
        <v>330</v>
      </c>
      <c r="G12" s="127">
        <f t="shared" si="1"/>
        <v>4.7619047619047616E-2</v>
      </c>
      <c r="H12" s="21">
        <v>460</v>
      </c>
      <c r="I12" s="10">
        <v>390</v>
      </c>
      <c r="J12" s="21">
        <v>510</v>
      </c>
      <c r="K12" s="127">
        <f t="shared" si="2"/>
        <v>0.10869565217391304</v>
      </c>
      <c r="L12" s="10">
        <v>375</v>
      </c>
      <c r="M12" s="127">
        <f t="shared" si="3"/>
        <v>-3.8461538461538464E-2</v>
      </c>
      <c r="N12" s="21">
        <v>460</v>
      </c>
      <c r="O12" s="10">
        <v>365</v>
      </c>
      <c r="P12" s="10">
        <v>490</v>
      </c>
      <c r="Q12" s="127">
        <f t="shared" si="4"/>
        <v>6.5217391304347824E-2</v>
      </c>
      <c r="R12" s="10">
        <v>355</v>
      </c>
      <c r="S12" s="127">
        <f t="shared" si="5"/>
        <v>-2.7397260273972601E-2</v>
      </c>
    </row>
    <row r="13" spans="1:19" ht="15.75" x14ac:dyDescent="0.25">
      <c r="A13" s="6" t="s">
        <v>3</v>
      </c>
      <c r="B13" s="10">
        <v>410</v>
      </c>
      <c r="C13" s="10">
        <v>310</v>
      </c>
      <c r="D13" s="10">
        <v>410</v>
      </c>
      <c r="E13" s="127">
        <f t="shared" si="0"/>
        <v>0</v>
      </c>
      <c r="F13" s="10">
        <v>325</v>
      </c>
      <c r="G13" s="127">
        <f t="shared" si="1"/>
        <v>4.8387096774193547E-2</v>
      </c>
      <c r="H13" s="21">
        <v>460</v>
      </c>
      <c r="I13" s="10">
        <v>370</v>
      </c>
      <c r="J13" s="10">
        <v>500</v>
      </c>
      <c r="K13" s="127">
        <f t="shared" si="2"/>
        <v>8.6956521739130432E-2</v>
      </c>
      <c r="L13" s="10">
        <v>350</v>
      </c>
      <c r="M13" s="127">
        <f t="shared" si="3"/>
        <v>-5.4054054054054057E-2</v>
      </c>
      <c r="N13" s="21">
        <v>460</v>
      </c>
      <c r="O13" s="10">
        <v>345</v>
      </c>
      <c r="P13" s="10">
        <v>470</v>
      </c>
      <c r="Q13" s="127">
        <f t="shared" si="4"/>
        <v>2.1739130434782608E-2</v>
      </c>
      <c r="R13" s="10">
        <v>335</v>
      </c>
      <c r="S13" s="127">
        <f t="shared" si="5"/>
        <v>-2.8985507246376812E-2</v>
      </c>
    </row>
    <row r="14" spans="1:19" ht="15.75" x14ac:dyDescent="0.25">
      <c r="A14" s="6" t="s">
        <v>4</v>
      </c>
      <c r="B14" s="10">
        <v>400</v>
      </c>
      <c r="C14" s="10">
        <v>310</v>
      </c>
      <c r="D14" s="10">
        <v>405</v>
      </c>
      <c r="E14" s="127">
        <f t="shared" si="0"/>
        <v>1.2500000000000001E-2</v>
      </c>
      <c r="F14" s="10">
        <v>320</v>
      </c>
      <c r="G14" s="127">
        <f t="shared" si="1"/>
        <v>3.2258064516129031E-2</v>
      </c>
      <c r="H14" s="21">
        <v>460</v>
      </c>
      <c r="I14" s="10">
        <v>360</v>
      </c>
      <c r="J14" s="10">
        <v>470</v>
      </c>
      <c r="K14" s="127">
        <f t="shared" si="2"/>
        <v>2.1739130434782608E-2</v>
      </c>
      <c r="L14" s="10">
        <v>340</v>
      </c>
      <c r="M14" s="127">
        <f t="shared" si="3"/>
        <v>-5.5555555555555552E-2</v>
      </c>
      <c r="N14" s="21">
        <v>460</v>
      </c>
      <c r="O14" s="10">
        <v>335</v>
      </c>
      <c r="P14" s="10">
        <v>455</v>
      </c>
      <c r="Q14" s="127">
        <f t="shared" si="4"/>
        <v>-1.0869565217391304E-2</v>
      </c>
      <c r="R14" s="10">
        <v>330</v>
      </c>
      <c r="S14" s="127">
        <f t="shared" si="5"/>
        <v>-1.4925373134328358E-2</v>
      </c>
    </row>
    <row r="15" spans="1:19" ht="15.75" x14ac:dyDescent="0.25">
      <c r="A15" s="6" t="s">
        <v>5</v>
      </c>
      <c r="B15" s="10">
        <v>380</v>
      </c>
      <c r="C15" s="10">
        <v>305</v>
      </c>
      <c r="D15" s="10">
        <v>390</v>
      </c>
      <c r="E15" s="127">
        <f t="shared" si="0"/>
        <v>2.6315789473684209E-2</v>
      </c>
      <c r="F15" s="10">
        <v>315</v>
      </c>
      <c r="G15" s="127">
        <f t="shared" si="1"/>
        <v>3.2786885245901641E-2</v>
      </c>
      <c r="H15" s="21">
        <v>460</v>
      </c>
      <c r="I15" s="10">
        <v>345</v>
      </c>
      <c r="J15" s="10">
        <v>450</v>
      </c>
      <c r="K15" s="127">
        <f t="shared" si="2"/>
        <v>-2.1739130434782608E-2</v>
      </c>
      <c r="L15" s="10">
        <v>320</v>
      </c>
      <c r="M15" s="127">
        <f t="shared" si="3"/>
        <v>-7.2463768115942032E-2</v>
      </c>
      <c r="N15" s="21">
        <v>460</v>
      </c>
      <c r="O15" s="10">
        <v>320</v>
      </c>
      <c r="P15" s="10">
        <v>440</v>
      </c>
      <c r="Q15" s="127">
        <f t="shared" si="4"/>
        <v>-4.3478260869565216E-2</v>
      </c>
      <c r="R15" s="10">
        <v>315</v>
      </c>
      <c r="S15" s="127">
        <f t="shared" si="5"/>
        <v>-1.5625E-2</v>
      </c>
    </row>
    <row r="16" spans="1:19" ht="15.75" x14ac:dyDescent="0.25">
      <c r="A16" s="6" t="s">
        <v>6</v>
      </c>
      <c r="B16" s="10">
        <v>375</v>
      </c>
      <c r="C16" s="10">
        <v>300</v>
      </c>
      <c r="D16" s="10">
        <v>385</v>
      </c>
      <c r="E16" s="127">
        <f t="shared" si="0"/>
        <v>2.6666666666666668E-2</v>
      </c>
      <c r="F16" s="10">
        <v>305</v>
      </c>
      <c r="G16" s="127">
        <f t="shared" si="1"/>
        <v>1.6666666666666666E-2</v>
      </c>
      <c r="H16" s="21">
        <v>460</v>
      </c>
      <c r="I16" s="10">
        <v>330</v>
      </c>
      <c r="J16" s="10">
        <v>430</v>
      </c>
      <c r="K16" s="127">
        <f t="shared" si="2"/>
        <v>-6.5217391304347824E-2</v>
      </c>
      <c r="L16" s="10">
        <v>300</v>
      </c>
      <c r="M16" s="127">
        <f t="shared" si="3"/>
        <v>-9.0909090909090912E-2</v>
      </c>
      <c r="N16" s="10">
        <v>430</v>
      </c>
      <c r="O16" s="10">
        <v>305</v>
      </c>
      <c r="P16" s="10">
        <v>415</v>
      </c>
      <c r="Q16" s="127">
        <f t="shared" si="4"/>
        <v>-3.4883720930232558E-2</v>
      </c>
      <c r="R16" s="10">
        <v>295</v>
      </c>
      <c r="S16" s="127">
        <f t="shared" si="5"/>
        <v>-3.2786885245901641E-2</v>
      </c>
    </row>
    <row r="17" spans="1:19" ht="15.75" x14ac:dyDescent="0.25">
      <c r="A17" s="6" t="s">
        <v>7</v>
      </c>
      <c r="B17" s="10">
        <v>365</v>
      </c>
      <c r="C17" s="10">
        <v>290</v>
      </c>
      <c r="D17" s="10">
        <v>375</v>
      </c>
      <c r="E17" s="127">
        <f t="shared" si="0"/>
        <v>2.7397260273972601E-2</v>
      </c>
      <c r="F17" s="10">
        <v>300</v>
      </c>
      <c r="G17" s="127">
        <f t="shared" si="1"/>
        <v>3.4482758620689655E-2</v>
      </c>
      <c r="H17" s="10">
        <v>430</v>
      </c>
      <c r="I17" s="10">
        <v>310</v>
      </c>
      <c r="J17" s="10">
        <v>400</v>
      </c>
      <c r="K17" s="127">
        <f>(J17-H17)/H17</f>
        <v>-6.9767441860465115E-2</v>
      </c>
      <c r="L17" s="10">
        <v>290</v>
      </c>
      <c r="M17" s="127">
        <f t="shared" si="3"/>
        <v>-6.4516129032258063E-2</v>
      </c>
      <c r="N17" s="10">
        <v>405</v>
      </c>
      <c r="O17" s="10">
        <v>285</v>
      </c>
      <c r="P17" s="10">
        <v>390</v>
      </c>
      <c r="Q17" s="127">
        <f>(P17-N17)/N17</f>
        <v>-3.7037037037037035E-2</v>
      </c>
      <c r="R17" s="10">
        <v>280</v>
      </c>
      <c r="S17" s="127">
        <f t="shared" si="5"/>
        <v>-1.7543859649122806E-2</v>
      </c>
    </row>
    <row r="18" spans="1:19" ht="15.75" x14ac:dyDescent="0.25">
      <c r="A18" s="6" t="s">
        <v>8</v>
      </c>
      <c r="B18" s="10">
        <v>360</v>
      </c>
      <c r="C18" s="10">
        <v>280</v>
      </c>
      <c r="D18" s="10">
        <v>360</v>
      </c>
      <c r="E18" s="127">
        <f t="shared" si="0"/>
        <v>0</v>
      </c>
      <c r="F18" s="10">
        <v>290</v>
      </c>
      <c r="G18" s="127">
        <f t="shared" si="1"/>
        <v>3.5714285714285712E-2</v>
      </c>
      <c r="H18" s="10">
        <v>400</v>
      </c>
      <c r="I18" s="10">
        <v>290</v>
      </c>
      <c r="J18" s="10">
        <v>380</v>
      </c>
      <c r="K18" s="127">
        <f t="shared" si="2"/>
        <v>-0.05</v>
      </c>
      <c r="L18" s="10">
        <v>270</v>
      </c>
      <c r="M18" s="127">
        <f t="shared" si="3"/>
        <v>-6.8965517241379309E-2</v>
      </c>
      <c r="N18" s="10">
        <v>375</v>
      </c>
      <c r="O18" s="10">
        <v>265</v>
      </c>
      <c r="P18" s="10">
        <v>365</v>
      </c>
      <c r="Q18" s="127">
        <f t="shared" si="4"/>
        <v>-2.6666666666666668E-2</v>
      </c>
      <c r="R18" s="10">
        <v>265</v>
      </c>
      <c r="S18" s="127">
        <f t="shared" si="5"/>
        <v>0</v>
      </c>
    </row>
    <row r="19" spans="1:19" ht="15.75" x14ac:dyDescent="0.25">
      <c r="A19" s="6" t="s">
        <v>9</v>
      </c>
      <c r="B19" s="10">
        <v>340</v>
      </c>
      <c r="C19" s="10">
        <v>275</v>
      </c>
      <c r="D19" s="10">
        <v>340</v>
      </c>
      <c r="E19" s="127">
        <f t="shared" si="0"/>
        <v>0</v>
      </c>
      <c r="F19" s="10">
        <v>280</v>
      </c>
      <c r="G19" s="127">
        <f t="shared" si="1"/>
        <v>1.8181818181818181E-2</v>
      </c>
      <c r="H19" s="10">
        <v>360</v>
      </c>
      <c r="I19" s="10">
        <v>260</v>
      </c>
      <c r="J19" s="10">
        <v>340</v>
      </c>
      <c r="K19" s="127">
        <f t="shared" si="2"/>
        <v>-5.5555555555555552E-2</v>
      </c>
      <c r="L19" s="10">
        <v>240</v>
      </c>
      <c r="M19" s="127">
        <f t="shared" si="3"/>
        <v>-7.6923076923076927E-2</v>
      </c>
      <c r="N19" s="10">
        <v>360</v>
      </c>
      <c r="O19" s="10">
        <v>240</v>
      </c>
      <c r="P19" s="10">
        <v>330</v>
      </c>
      <c r="Q19" s="127">
        <f t="shared" si="4"/>
        <v>-8.3333333333333329E-2</v>
      </c>
      <c r="R19" s="10">
        <v>240</v>
      </c>
      <c r="S19" s="127">
        <f t="shared" si="5"/>
        <v>0</v>
      </c>
    </row>
    <row r="20" spans="1:19" ht="15.75" x14ac:dyDescent="0.25">
      <c r="A20" s="6" t="s">
        <v>10</v>
      </c>
      <c r="B20" s="10">
        <v>310</v>
      </c>
      <c r="C20" s="10">
        <v>260</v>
      </c>
      <c r="D20" s="10">
        <v>320</v>
      </c>
      <c r="E20" s="127">
        <f t="shared" si="0"/>
        <v>3.2258064516129031E-2</v>
      </c>
      <c r="F20" s="10">
        <v>260</v>
      </c>
      <c r="G20" s="127">
        <f t="shared" si="1"/>
        <v>0</v>
      </c>
      <c r="H20" s="10">
        <v>330</v>
      </c>
      <c r="I20" s="10">
        <v>240</v>
      </c>
      <c r="J20" s="10">
        <v>310</v>
      </c>
      <c r="K20" s="127">
        <f t="shared" si="2"/>
        <v>-6.0606060606060608E-2</v>
      </c>
      <c r="L20" s="10">
        <v>225</v>
      </c>
      <c r="M20" s="127">
        <f t="shared" si="3"/>
        <v>-6.25E-2</v>
      </c>
      <c r="N20" s="10">
        <v>360</v>
      </c>
      <c r="O20" s="10">
        <v>225</v>
      </c>
      <c r="P20" s="10">
        <v>305</v>
      </c>
      <c r="Q20" s="127">
        <f t="shared" si="4"/>
        <v>-0.15277777777777779</v>
      </c>
      <c r="R20" s="10">
        <v>220</v>
      </c>
      <c r="S20" s="127">
        <f t="shared" si="5"/>
        <v>-2.2222222222222223E-2</v>
      </c>
    </row>
    <row r="21" spans="1:19" ht="15.75" x14ac:dyDescent="0.25">
      <c r="A21" s="6" t="s">
        <v>11</v>
      </c>
      <c r="B21" s="10">
        <v>305</v>
      </c>
      <c r="C21" s="10">
        <v>240</v>
      </c>
      <c r="D21" s="10">
        <v>315</v>
      </c>
      <c r="E21" s="127">
        <f t="shared" si="0"/>
        <v>3.2786885245901641E-2</v>
      </c>
      <c r="F21" s="10">
        <v>250</v>
      </c>
      <c r="G21" s="127">
        <f t="shared" si="1"/>
        <v>4.1666666666666664E-2</v>
      </c>
      <c r="H21" s="10">
        <v>320</v>
      </c>
      <c r="I21" s="10">
        <v>230</v>
      </c>
      <c r="J21" s="10">
        <v>300</v>
      </c>
      <c r="K21" s="127">
        <f t="shared" si="2"/>
        <v>-6.25E-2</v>
      </c>
      <c r="L21" s="10">
        <v>215</v>
      </c>
      <c r="M21" s="127">
        <f t="shared" si="3"/>
        <v>-6.5217391304347824E-2</v>
      </c>
      <c r="N21" s="10">
        <v>340</v>
      </c>
      <c r="O21" s="10">
        <v>215</v>
      </c>
      <c r="P21" s="10">
        <v>290</v>
      </c>
      <c r="Q21" s="127">
        <f t="shared" si="4"/>
        <v>-0.14705882352941177</v>
      </c>
      <c r="R21" s="10">
        <v>215</v>
      </c>
      <c r="S21" s="127">
        <f t="shared" si="5"/>
        <v>0</v>
      </c>
    </row>
    <row r="22" spans="1:19" ht="15.75" x14ac:dyDescent="0.25">
      <c r="A22" s="6" t="s">
        <v>12</v>
      </c>
      <c r="B22" s="10">
        <v>300</v>
      </c>
      <c r="C22" s="10">
        <v>240</v>
      </c>
      <c r="D22" s="10">
        <v>310</v>
      </c>
      <c r="E22" s="127">
        <f t="shared" si="0"/>
        <v>3.3333333333333333E-2</v>
      </c>
      <c r="F22" s="10">
        <v>240</v>
      </c>
      <c r="G22" s="127">
        <f t="shared" si="1"/>
        <v>0</v>
      </c>
      <c r="H22" s="10">
        <v>300</v>
      </c>
      <c r="I22" s="10">
        <v>215</v>
      </c>
      <c r="J22" s="10">
        <v>285</v>
      </c>
      <c r="K22" s="127">
        <f t="shared" si="2"/>
        <v>-0.05</v>
      </c>
      <c r="L22" s="10">
        <v>205</v>
      </c>
      <c r="M22" s="127">
        <f t="shared" si="3"/>
        <v>-4.6511627906976744E-2</v>
      </c>
      <c r="N22" s="10">
        <v>285</v>
      </c>
      <c r="O22" s="10">
        <v>205</v>
      </c>
      <c r="P22" s="10">
        <v>289</v>
      </c>
      <c r="Q22" s="127">
        <f t="shared" si="4"/>
        <v>1.4035087719298246E-2</v>
      </c>
      <c r="R22" s="10">
        <v>205</v>
      </c>
      <c r="S22" s="127">
        <f t="shared" si="5"/>
        <v>0</v>
      </c>
    </row>
  </sheetData>
  <mergeCells count="18">
    <mergeCell ref="D4:E4"/>
    <mergeCell ref="F4:G4"/>
    <mergeCell ref="J4:K4"/>
    <mergeCell ref="L4:M4"/>
    <mergeCell ref="P4:Q4"/>
    <mergeCell ref="R4:S4"/>
    <mergeCell ref="K2:M2"/>
    <mergeCell ref="H3:M3"/>
    <mergeCell ref="N2:O2"/>
    <mergeCell ref="P2:S2"/>
    <mergeCell ref="N3:S3"/>
    <mergeCell ref="B1:G1"/>
    <mergeCell ref="H1:M1"/>
    <mergeCell ref="N1:S1"/>
    <mergeCell ref="B2:C2"/>
    <mergeCell ref="D2:G2"/>
    <mergeCell ref="B3:G3"/>
    <mergeCell ref="H2:I2"/>
  </mergeCells>
  <conditionalFormatting sqref="E6:E22 G6:G22">
    <cfRule type="colorScale" priority="6">
      <colorScale>
        <cfvo type="min"/>
        <cfvo type="max"/>
        <color rgb="FFFCFCFF"/>
        <color rgb="FF63BE7B"/>
      </colorScale>
    </cfRule>
  </conditionalFormatting>
  <conditionalFormatting sqref="K6:K22">
    <cfRule type="colorScale" priority="4">
      <colorScale>
        <cfvo type="min"/>
        <cfvo type="max"/>
        <color rgb="FFF8696B"/>
        <color rgb="FFFCFCFF"/>
      </colorScale>
    </cfRule>
  </conditionalFormatting>
  <conditionalFormatting sqref="M6:M22">
    <cfRule type="colorScale" priority="3">
      <colorScale>
        <cfvo type="min"/>
        <cfvo type="max"/>
        <color rgb="FFF8696B"/>
        <color rgb="FFFCFCFF"/>
      </colorScale>
    </cfRule>
  </conditionalFormatting>
  <conditionalFormatting sqref="Q6:Q22">
    <cfRule type="colorScale" priority="2">
      <colorScale>
        <cfvo type="min"/>
        <cfvo type="max"/>
        <color rgb="FFF8696B"/>
        <color rgb="FFFCFCFF"/>
      </colorScale>
    </cfRule>
  </conditionalFormatting>
  <conditionalFormatting sqref="S6:S22">
    <cfRule type="colorScale" priority="1">
      <colorScale>
        <cfvo type="min"/>
        <cfvo type="max"/>
        <color rgb="FFF8696B"/>
        <color rgb="FFFCFCFF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pane xSplit="1" topLeftCell="B1" activePane="topRight" state="frozen"/>
      <selection pane="topRight" activeCell="N14" sqref="N14"/>
    </sheetView>
  </sheetViews>
  <sheetFormatPr defaultRowHeight="15" x14ac:dyDescent="0.25"/>
  <cols>
    <col min="1" max="1" width="13.140625" bestFit="1" customWidth="1"/>
    <col min="2" max="2" width="12.5703125" customWidth="1"/>
    <col min="3" max="7" width="13.42578125" hidden="1" customWidth="1"/>
    <col min="8" max="9" width="13.85546875" hidden="1" customWidth="1"/>
    <col min="10" max="11" width="13.140625" bestFit="1" customWidth="1"/>
    <col min="12" max="12" width="12.85546875" customWidth="1"/>
    <col min="13" max="14" width="13.85546875" customWidth="1"/>
    <col min="15" max="15" width="13.140625" bestFit="1" customWidth="1"/>
    <col min="16" max="16" width="12.140625" customWidth="1"/>
    <col min="17" max="17" width="17.28515625" bestFit="1" customWidth="1"/>
  </cols>
  <sheetData>
    <row r="1" spans="1:17" ht="33" customHeight="1" x14ac:dyDescent="0.25">
      <c r="B1" s="5"/>
      <c r="C1" s="109" t="s">
        <v>24</v>
      </c>
      <c r="D1" s="109"/>
      <c r="E1" s="109"/>
      <c r="F1" s="109"/>
      <c r="G1" s="109"/>
      <c r="H1" s="109"/>
      <c r="I1" s="109"/>
      <c r="J1" s="110" t="s">
        <v>25</v>
      </c>
      <c r="K1" s="110"/>
      <c r="L1" s="110"/>
      <c r="M1" s="110"/>
      <c r="N1" s="110"/>
      <c r="O1" s="110"/>
      <c r="P1" s="110"/>
    </row>
    <row r="2" spans="1:17" s="1" customFormat="1" ht="45" customHeight="1" x14ac:dyDescent="0.25">
      <c r="B2" s="104" t="s">
        <v>16</v>
      </c>
      <c r="C2" s="105" t="s">
        <v>19</v>
      </c>
      <c r="D2" s="105" t="s">
        <v>17</v>
      </c>
      <c r="E2" s="105" t="s">
        <v>21</v>
      </c>
      <c r="F2" s="105" t="s">
        <v>22</v>
      </c>
      <c r="G2" s="107" t="s">
        <v>23</v>
      </c>
      <c r="H2" s="106" t="s">
        <v>18</v>
      </c>
      <c r="I2" s="106"/>
      <c r="J2" s="107" t="s">
        <v>20</v>
      </c>
      <c r="K2" s="105" t="s">
        <v>17</v>
      </c>
      <c r="L2" s="105" t="s">
        <v>21</v>
      </c>
      <c r="M2" s="105" t="s">
        <v>22</v>
      </c>
      <c r="N2" s="107" t="s">
        <v>23</v>
      </c>
      <c r="O2" s="106" t="s">
        <v>18</v>
      </c>
      <c r="P2" s="106"/>
      <c r="Q2" s="105" t="s">
        <v>104</v>
      </c>
    </row>
    <row r="3" spans="1:17" x14ac:dyDescent="0.25">
      <c r="B3" s="104"/>
      <c r="C3" s="105"/>
      <c r="D3" s="105"/>
      <c r="E3" s="105"/>
      <c r="F3" s="105"/>
      <c r="G3" s="108"/>
      <c r="H3" s="87" t="s">
        <v>14</v>
      </c>
      <c r="I3" s="87" t="s">
        <v>15</v>
      </c>
      <c r="J3" s="108"/>
      <c r="K3" s="105"/>
      <c r="L3" s="105"/>
      <c r="M3" s="105"/>
      <c r="N3" s="108"/>
      <c r="O3" s="87" t="s">
        <v>14</v>
      </c>
      <c r="P3" s="87" t="s">
        <v>15</v>
      </c>
      <c r="Q3" s="105"/>
    </row>
    <row r="4" spans="1:17" ht="15.75" x14ac:dyDescent="0.25">
      <c r="A4" s="8" t="s">
        <v>0</v>
      </c>
      <c r="B4" s="86">
        <v>2.8</v>
      </c>
      <c r="C4" s="3">
        <f>B4*100000</f>
        <v>280000</v>
      </c>
      <c r="D4" s="4">
        <v>110000</v>
      </c>
      <c r="E4" s="4">
        <v>12000</v>
      </c>
      <c r="F4" s="4">
        <v>5000</v>
      </c>
      <c r="G4" s="4">
        <v>15000</v>
      </c>
      <c r="H4" s="88">
        <f>SUM(C4:G4)</f>
        <v>422000</v>
      </c>
      <c r="I4" s="89">
        <f>H4/100000</f>
        <v>4.22</v>
      </c>
      <c r="J4" s="3">
        <f>B4*80000</f>
        <v>224000</v>
      </c>
      <c r="K4" s="4">
        <f>D4*0.95</f>
        <v>104500</v>
      </c>
      <c r="L4" s="4">
        <v>20000</v>
      </c>
      <c r="M4" s="4">
        <v>12000</v>
      </c>
      <c r="N4" s="4">
        <v>15000</v>
      </c>
      <c r="O4" s="88">
        <f>SUM(J4:N4)</f>
        <v>375500</v>
      </c>
      <c r="P4" s="89">
        <f>O4/80000</f>
        <v>4.6937499999999996</v>
      </c>
      <c r="Q4" s="7">
        <f>(P4-I4)/I4</f>
        <v>0.11226303317535544</v>
      </c>
    </row>
    <row r="5" spans="1:17" ht="15.75" x14ac:dyDescent="0.25">
      <c r="A5" s="8" t="s">
        <v>1</v>
      </c>
      <c r="B5" s="86">
        <v>2.5</v>
      </c>
      <c r="C5" s="3">
        <f t="shared" ref="C5:C17" si="0">B5*100000</f>
        <v>250000</v>
      </c>
      <c r="D5" s="4">
        <v>110000</v>
      </c>
      <c r="E5" s="4">
        <v>12000</v>
      </c>
      <c r="F5" s="4">
        <v>5000</v>
      </c>
      <c r="G5" s="4">
        <v>15000</v>
      </c>
      <c r="H5" s="88">
        <f t="shared" ref="H5:H17" si="1">SUM(C5:G5)</f>
        <v>392000</v>
      </c>
      <c r="I5" s="89">
        <f t="shared" ref="I5:I17" si="2">H5/100000</f>
        <v>3.92</v>
      </c>
      <c r="J5" s="3">
        <f>B5*80000</f>
        <v>200000</v>
      </c>
      <c r="K5" s="4">
        <f>D5*0.95</f>
        <v>104500</v>
      </c>
      <c r="L5" s="4">
        <v>20000</v>
      </c>
      <c r="M5" s="4">
        <v>12000</v>
      </c>
      <c r="N5" s="4">
        <v>15000</v>
      </c>
      <c r="O5" s="88">
        <f t="shared" ref="O5:O17" si="3">SUM(J5:N5)</f>
        <v>351500</v>
      </c>
      <c r="P5" s="89">
        <f t="shared" ref="P5:P17" si="4">O5/80000</f>
        <v>4.3937499999999998</v>
      </c>
      <c r="Q5" s="7">
        <f>(P5-I5)/I5</f>
        <v>0.12085459183673466</v>
      </c>
    </row>
    <row r="6" spans="1:17" ht="15.75" x14ac:dyDescent="0.25">
      <c r="A6" s="8" t="s">
        <v>2</v>
      </c>
      <c r="B6" s="86">
        <v>2.2000000000000002</v>
      </c>
      <c r="C6" s="3">
        <f t="shared" si="0"/>
        <v>220000.00000000003</v>
      </c>
      <c r="D6" s="4">
        <v>105000</v>
      </c>
      <c r="E6" s="4">
        <v>12000</v>
      </c>
      <c r="F6" s="4">
        <v>5000</v>
      </c>
      <c r="G6" s="4">
        <v>15000</v>
      </c>
      <c r="H6" s="88">
        <f t="shared" si="1"/>
        <v>357000</v>
      </c>
      <c r="I6" s="89">
        <f t="shared" si="2"/>
        <v>3.57</v>
      </c>
      <c r="J6" s="3">
        <f>B6*80000</f>
        <v>176000</v>
      </c>
      <c r="K6" s="4">
        <f>D6*0.95</f>
        <v>99750</v>
      </c>
      <c r="L6" s="4">
        <v>20000</v>
      </c>
      <c r="M6" s="4">
        <v>12000</v>
      </c>
      <c r="N6" s="4">
        <v>15000</v>
      </c>
      <c r="O6" s="88">
        <f t="shared" si="3"/>
        <v>322750</v>
      </c>
      <c r="P6" s="89">
        <f t="shared" si="4"/>
        <v>4.0343749999999998</v>
      </c>
      <c r="Q6" s="7">
        <f>(P6-I6)/I6</f>
        <v>0.13007703081232494</v>
      </c>
    </row>
    <row r="7" spans="1:17" ht="15.75" x14ac:dyDescent="0.25">
      <c r="A7" s="8" t="s">
        <v>3</v>
      </c>
      <c r="B7" s="86">
        <v>1.95</v>
      </c>
      <c r="C7" s="3">
        <f t="shared" si="0"/>
        <v>195000</v>
      </c>
      <c r="D7" s="4">
        <v>105000</v>
      </c>
      <c r="E7" s="4">
        <v>12000</v>
      </c>
      <c r="F7" s="4">
        <v>5000</v>
      </c>
      <c r="G7" s="4">
        <v>10000</v>
      </c>
      <c r="H7" s="88">
        <f t="shared" si="1"/>
        <v>327000</v>
      </c>
      <c r="I7" s="89">
        <f t="shared" si="2"/>
        <v>3.27</v>
      </c>
      <c r="J7" s="3">
        <f>B7*80000</f>
        <v>156000</v>
      </c>
      <c r="K7" s="4">
        <f>D7*0.95</f>
        <v>99750</v>
      </c>
      <c r="L7" s="4">
        <v>20000</v>
      </c>
      <c r="M7" s="4">
        <v>12000</v>
      </c>
      <c r="N7" s="4">
        <v>15000</v>
      </c>
      <c r="O7" s="88">
        <f t="shared" si="3"/>
        <v>302750</v>
      </c>
      <c r="P7" s="89">
        <f t="shared" si="4"/>
        <v>3.7843749999999998</v>
      </c>
      <c r="Q7" s="7">
        <f>(P7-I7)/I7</f>
        <v>0.15730122324159015</v>
      </c>
    </row>
    <row r="8" spans="1:17" ht="15.75" x14ac:dyDescent="0.25">
      <c r="A8" s="8" t="s">
        <v>4</v>
      </c>
      <c r="B8" s="86">
        <v>1.85</v>
      </c>
      <c r="C8" s="3">
        <f t="shared" si="0"/>
        <v>185000</v>
      </c>
      <c r="D8" s="4">
        <v>100000</v>
      </c>
      <c r="E8" s="4">
        <v>12000</v>
      </c>
      <c r="F8" s="4">
        <v>5000</v>
      </c>
      <c r="G8" s="4">
        <v>10000</v>
      </c>
      <c r="H8" s="88">
        <f t="shared" si="1"/>
        <v>312000</v>
      </c>
      <c r="I8" s="89">
        <f t="shared" si="2"/>
        <v>3.12</v>
      </c>
      <c r="J8" s="3">
        <f>B8*80000</f>
        <v>148000</v>
      </c>
      <c r="K8" s="4">
        <f>D8*0.95</f>
        <v>95000</v>
      </c>
      <c r="L8" s="4">
        <v>20000</v>
      </c>
      <c r="M8" s="4">
        <v>12000</v>
      </c>
      <c r="N8" s="4">
        <v>15000</v>
      </c>
      <c r="O8" s="88">
        <f t="shared" si="3"/>
        <v>290000</v>
      </c>
      <c r="P8" s="89">
        <f t="shared" si="4"/>
        <v>3.625</v>
      </c>
      <c r="Q8" s="7">
        <f>(P8-I8)/I8</f>
        <v>0.16185897435897431</v>
      </c>
    </row>
    <row r="9" spans="1:17" ht="15.75" x14ac:dyDescent="0.25">
      <c r="A9" s="8" t="s">
        <v>5</v>
      </c>
      <c r="B9" s="86">
        <v>1.5</v>
      </c>
      <c r="C9" s="3">
        <f t="shared" si="0"/>
        <v>150000</v>
      </c>
      <c r="D9" s="4">
        <v>100000</v>
      </c>
      <c r="E9" s="4">
        <v>12000</v>
      </c>
      <c r="F9" s="4">
        <v>5000</v>
      </c>
      <c r="G9" s="4">
        <v>10000</v>
      </c>
      <c r="H9" s="88">
        <f t="shared" si="1"/>
        <v>277000</v>
      </c>
      <c r="I9" s="89">
        <f t="shared" si="2"/>
        <v>2.77</v>
      </c>
      <c r="J9" s="3">
        <f>B9*80000</f>
        <v>120000</v>
      </c>
      <c r="K9" s="4">
        <f>D9*0.95</f>
        <v>95000</v>
      </c>
      <c r="L9" s="4">
        <v>20000</v>
      </c>
      <c r="M9" s="4">
        <v>12000</v>
      </c>
      <c r="N9" s="4">
        <v>15000</v>
      </c>
      <c r="O9" s="88">
        <f t="shared" si="3"/>
        <v>262000</v>
      </c>
      <c r="P9" s="89">
        <f t="shared" si="4"/>
        <v>3.2749999999999999</v>
      </c>
      <c r="Q9" s="7">
        <f>(P9-I9)/I9</f>
        <v>0.18231046931407938</v>
      </c>
    </row>
    <row r="10" spans="1:17" ht="15.75" x14ac:dyDescent="0.25">
      <c r="A10" s="8" t="s">
        <v>6</v>
      </c>
      <c r="B10" s="86">
        <v>1.35</v>
      </c>
      <c r="C10" s="3">
        <f t="shared" si="0"/>
        <v>135000</v>
      </c>
      <c r="D10" s="4">
        <v>95000</v>
      </c>
      <c r="E10" s="4">
        <v>12000</v>
      </c>
      <c r="F10" s="4">
        <v>5000</v>
      </c>
      <c r="G10" s="4">
        <v>10000</v>
      </c>
      <c r="H10" s="88">
        <f t="shared" si="1"/>
        <v>257000</v>
      </c>
      <c r="I10" s="89">
        <f t="shared" si="2"/>
        <v>2.57</v>
      </c>
      <c r="J10" s="3">
        <f>B10*80000</f>
        <v>108000</v>
      </c>
      <c r="K10" s="4">
        <f>D10*0.95</f>
        <v>90250</v>
      </c>
      <c r="L10" s="4">
        <v>20000</v>
      </c>
      <c r="M10" s="4">
        <v>12000</v>
      </c>
      <c r="N10" s="4">
        <v>15000</v>
      </c>
      <c r="O10" s="88">
        <f t="shared" si="3"/>
        <v>245250</v>
      </c>
      <c r="P10" s="89">
        <f t="shared" si="4"/>
        <v>3.0656249999999998</v>
      </c>
      <c r="Q10" s="7">
        <f>(P10-I10)/I10</f>
        <v>0.19285019455252919</v>
      </c>
    </row>
    <row r="11" spans="1:17" ht="15.75" x14ac:dyDescent="0.25">
      <c r="A11" s="8" t="s">
        <v>7</v>
      </c>
      <c r="B11" s="86">
        <v>1.1000000000000001</v>
      </c>
      <c r="C11" s="3">
        <f t="shared" si="0"/>
        <v>110000.00000000001</v>
      </c>
      <c r="D11" s="4">
        <v>95000</v>
      </c>
      <c r="E11" s="4">
        <v>12000</v>
      </c>
      <c r="F11" s="4">
        <v>5000</v>
      </c>
      <c r="G11" s="4">
        <v>2500</v>
      </c>
      <c r="H11" s="88">
        <f t="shared" si="1"/>
        <v>224500</v>
      </c>
      <c r="I11" s="89">
        <f t="shared" si="2"/>
        <v>2.2450000000000001</v>
      </c>
      <c r="J11" s="3">
        <f>B11*80000</f>
        <v>88000</v>
      </c>
      <c r="K11" s="4">
        <f>D11*0.95</f>
        <v>90250</v>
      </c>
      <c r="L11" s="4">
        <v>20000</v>
      </c>
      <c r="M11" s="4">
        <v>12000</v>
      </c>
      <c r="N11" s="4">
        <v>15000</v>
      </c>
      <c r="O11" s="88">
        <f t="shared" si="3"/>
        <v>225250</v>
      </c>
      <c r="P11" s="89">
        <f t="shared" si="4"/>
        <v>2.8156249999999998</v>
      </c>
      <c r="Q11" s="7">
        <f>(P11-I11)/I11</f>
        <v>0.25417594654788406</v>
      </c>
    </row>
    <row r="12" spans="1:17" ht="15.75" x14ac:dyDescent="0.25">
      <c r="A12" s="8" t="s">
        <v>8</v>
      </c>
      <c r="B12" s="86">
        <v>0.9</v>
      </c>
      <c r="C12" s="3">
        <f t="shared" si="0"/>
        <v>90000</v>
      </c>
      <c r="D12" s="4">
        <v>90000</v>
      </c>
      <c r="E12" s="4">
        <v>12000</v>
      </c>
      <c r="F12" s="4">
        <v>5000</v>
      </c>
      <c r="G12" s="4">
        <v>2500</v>
      </c>
      <c r="H12" s="88">
        <f t="shared" si="1"/>
        <v>199500</v>
      </c>
      <c r="I12" s="89">
        <f t="shared" si="2"/>
        <v>1.9950000000000001</v>
      </c>
      <c r="J12" s="3">
        <f>B12*80000</f>
        <v>72000</v>
      </c>
      <c r="K12" s="4">
        <f>D12*0.95</f>
        <v>85500</v>
      </c>
      <c r="L12" s="4">
        <v>20000</v>
      </c>
      <c r="M12" s="4">
        <v>12000</v>
      </c>
      <c r="N12" s="4">
        <v>10000</v>
      </c>
      <c r="O12" s="88">
        <f t="shared" si="3"/>
        <v>199500</v>
      </c>
      <c r="P12" s="89">
        <f t="shared" si="4"/>
        <v>2.4937499999999999</v>
      </c>
      <c r="Q12" s="7">
        <f>(P12-I12)/I12</f>
        <v>0.24999999999999989</v>
      </c>
    </row>
    <row r="13" spans="1:17" ht="15.75" x14ac:dyDescent="0.25">
      <c r="A13" s="8" t="s">
        <v>9</v>
      </c>
      <c r="B13" s="86">
        <v>0.7</v>
      </c>
      <c r="C13" s="3">
        <f t="shared" si="0"/>
        <v>70000</v>
      </c>
      <c r="D13" s="4">
        <v>90000</v>
      </c>
      <c r="E13" s="4">
        <v>12000</v>
      </c>
      <c r="F13" s="4">
        <v>5000</v>
      </c>
      <c r="G13" s="4">
        <v>2500</v>
      </c>
      <c r="H13" s="88">
        <f t="shared" si="1"/>
        <v>179500</v>
      </c>
      <c r="I13" s="89">
        <f t="shared" si="2"/>
        <v>1.7949999999999999</v>
      </c>
      <c r="J13" s="3">
        <f>B13*80000</f>
        <v>56000</v>
      </c>
      <c r="K13" s="4">
        <f>D13*0.95</f>
        <v>85500</v>
      </c>
      <c r="L13" s="4">
        <v>20000</v>
      </c>
      <c r="M13" s="4">
        <v>12000</v>
      </c>
      <c r="N13" s="4">
        <v>10000</v>
      </c>
      <c r="O13" s="88">
        <f t="shared" si="3"/>
        <v>183500</v>
      </c>
      <c r="P13" s="89">
        <f t="shared" si="4"/>
        <v>2.2937500000000002</v>
      </c>
      <c r="Q13" s="7">
        <f>(P13-I13)/I13</f>
        <v>0.27785515320334275</v>
      </c>
    </row>
    <row r="14" spans="1:17" ht="15.75" x14ac:dyDescent="0.25">
      <c r="A14" s="8" t="s">
        <v>10</v>
      </c>
      <c r="B14" s="86">
        <v>0.6</v>
      </c>
      <c r="C14" s="3">
        <f t="shared" si="0"/>
        <v>60000</v>
      </c>
      <c r="D14" s="4">
        <v>85000</v>
      </c>
      <c r="E14" s="4">
        <v>12000</v>
      </c>
      <c r="F14" s="4">
        <v>5000</v>
      </c>
      <c r="G14" s="4">
        <v>2500</v>
      </c>
      <c r="H14" s="88">
        <f t="shared" si="1"/>
        <v>164500</v>
      </c>
      <c r="I14" s="89">
        <f t="shared" si="2"/>
        <v>1.645</v>
      </c>
      <c r="J14" s="3">
        <f>B14*80000</f>
        <v>48000</v>
      </c>
      <c r="K14" s="4">
        <f>D14*0.95</f>
        <v>80750</v>
      </c>
      <c r="L14" s="4">
        <v>20000</v>
      </c>
      <c r="M14" s="4">
        <v>12000</v>
      </c>
      <c r="N14" s="4">
        <v>10000</v>
      </c>
      <c r="O14" s="88">
        <f t="shared" si="3"/>
        <v>170750</v>
      </c>
      <c r="P14" s="89">
        <f t="shared" si="4"/>
        <v>2.1343749999999999</v>
      </c>
      <c r="Q14" s="7">
        <f>(P14-I14)/I14</f>
        <v>0.29749240121580539</v>
      </c>
    </row>
    <row r="15" spans="1:17" ht="15.75" x14ac:dyDescent="0.25">
      <c r="A15" s="8" t="s">
        <v>11</v>
      </c>
      <c r="B15" s="86">
        <v>0.5</v>
      </c>
      <c r="C15" s="3">
        <f t="shared" si="0"/>
        <v>50000</v>
      </c>
      <c r="D15" s="4">
        <v>80000</v>
      </c>
      <c r="E15" s="4">
        <v>12000</v>
      </c>
      <c r="F15" s="4">
        <v>5000</v>
      </c>
      <c r="G15" s="4">
        <v>2500</v>
      </c>
      <c r="H15" s="88">
        <f t="shared" si="1"/>
        <v>149500</v>
      </c>
      <c r="I15" s="89">
        <f t="shared" si="2"/>
        <v>1.4950000000000001</v>
      </c>
      <c r="J15" s="3">
        <f>B15*80000</f>
        <v>40000</v>
      </c>
      <c r="K15" s="4">
        <f>D15*0.95</f>
        <v>76000</v>
      </c>
      <c r="L15" s="4">
        <v>20000</v>
      </c>
      <c r="M15" s="4">
        <v>12000</v>
      </c>
      <c r="N15" s="4">
        <v>10000</v>
      </c>
      <c r="O15" s="88">
        <f t="shared" si="3"/>
        <v>158000</v>
      </c>
      <c r="P15" s="89">
        <f t="shared" si="4"/>
        <v>1.9750000000000001</v>
      </c>
      <c r="Q15" s="7">
        <f>(P15-I15)/I15</f>
        <v>0.32107023411371233</v>
      </c>
    </row>
    <row r="16" spans="1:17" ht="15.75" x14ac:dyDescent="0.25">
      <c r="A16" s="8" t="s">
        <v>12</v>
      </c>
      <c r="B16" s="86">
        <v>0.47</v>
      </c>
      <c r="C16" s="3">
        <f t="shared" si="0"/>
        <v>47000</v>
      </c>
      <c r="D16" s="4">
        <v>75000</v>
      </c>
      <c r="E16" s="4">
        <v>12000</v>
      </c>
      <c r="F16" s="4">
        <v>5000</v>
      </c>
      <c r="G16" s="4">
        <v>2500</v>
      </c>
      <c r="H16" s="88">
        <f t="shared" si="1"/>
        <v>141500</v>
      </c>
      <c r="I16" s="89">
        <f t="shared" si="2"/>
        <v>1.415</v>
      </c>
      <c r="J16" s="3">
        <f>B16*80000</f>
        <v>37600</v>
      </c>
      <c r="K16" s="4">
        <f>D16*0.95</f>
        <v>71250</v>
      </c>
      <c r="L16" s="4">
        <v>20000</v>
      </c>
      <c r="M16" s="4">
        <v>12000</v>
      </c>
      <c r="N16" s="4">
        <v>10000</v>
      </c>
      <c r="O16" s="88">
        <f t="shared" si="3"/>
        <v>150850</v>
      </c>
      <c r="P16" s="89">
        <f t="shared" si="4"/>
        <v>1.8856250000000001</v>
      </c>
      <c r="Q16" s="7">
        <f>(P16-I16)/I16</f>
        <v>0.33259717314487636</v>
      </c>
    </row>
    <row r="17" spans="1:17" ht="15.75" x14ac:dyDescent="0.25">
      <c r="A17" s="8" t="s">
        <v>13</v>
      </c>
      <c r="B17" s="86">
        <v>0.5</v>
      </c>
      <c r="C17" s="3">
        <f t="shared" si="0"/>
        <v>50000</v>
      </c>
      <c r="D17" s="4">
        <v>75000</v>
      </c>
      <c r="E17" s="4">
        <v>12000</v>
      </c>
      <c r="F17" s="4">
        <v>5000</v>
      </c>
      <c r="G17" s="4">
        <v>2500</v>
      </c>
      <c r="H17" s="88">
        <f t="shared" si="1"/>
        <v>144500</v>
      </c>
      <c r="I17" s="89">
        <f t="shared" si="2"/>
        <v>1.4450000000000001</v>
      </c>
      <c r="J17" s="3">
        <f>B17*80000</f>
        <v>40000</v>
      </c>
      <c r="K17" s="4">
        <f>D17*0.95</f>
        <v>71250</v>
      </c>
      <c r="L17" s="4">
        <v>20000</v>
      </c>
      <c r="M17" s="4">
        <v>12000</v>
      </c>
      <c r="N17" s="4">
        <v>10000</v>
      </c>
      <c r="O17" s="88">
        <f t="shared" si="3"/>
        <v>153250</v>
      </c>
      <c r="P17" s="89">
        <f t="shared" si="4"/>
        <v>1.9156249999999999</v>
      </c>
      <c r="Q17" s="7">
        <f>(P17-I17)/I17</f>
        <v>0.3256920415224912</v>
      </c>
    </row>
  </sheetData>
  <mergeCells count="16">
    <mergeCell ref="Q2:Q3"/>
    <mergeCell ref="G2:G3"/>
    <mergeCell ref="N2:N3"/>
    <mergeCell ref="C1:I1"/>
    <mergeCell ref="J1:P1"/>
    <mergeCell ref="J2:J3"/>
    <mergeCell ref="K2:K3"/>
    <mergeCell ref="L2:L3"/>
    <mergeCell ref="M2:M3"/>
    <mergeCell ref="O2:P2"/>
    <mergeCell ref="B2:B3"/>
    <mergeCell ref="D2:D3"/>
    <mergeCell ref="E2:E3"/>
    <mergeCell ref="F2:F3"/>
    <mergeCell ref="H2:I2"/>
    <mergeCell ref="C2:C3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G12" sqref="E12:G13"/>
    </sheetView>
  </sheetViews>
  <sheetFormatPr defaultRowHeight="15" x14ac:dyDescent="0.25"/>
  <cols>
    <col min="1" max="1" width="30" customWidth="1"/>
    <col min="2" max="2" width="10.42578125" style="93" customWidth="1"/>
    <col min="3" max="3" width="16.7109375" bestFit="1" customWidth="1"/>
  </cols>
  <sheetData>
    <row r="1" spans="1:3" x14ac:dyDescent="0.25">
      <c r="A1" s="32" t="s">
        <v>77</v>
      </c>
      <c r="B1" s="2" t="s">
        <v>76</v>
      </c>
      <c r="C1" s="32" t="s">
        <v>78</v>
      </c>
    </row>
    <row r="2" spans="1:3" x14ac:dyDescent="0.25">
      <c r="A2" s="79" t="s">
        <v>73</v>
      </c>
      <c r="B2" s="90" t="s">
        <v>75</v>
      </c>
      <c r="C2" s="84">
        <v>1710</v>
      </c>
    </row>
    <row r="3" spans="1:3" x14ac:dyDescent="0.25">
      <c r="A3" s="80" t="s">
        <v>89</v>
      </c>
      <c r="B3" s="91" t="s">
        <v>87</v>
      </c>
      <c r="C3" s="85">
        <v>1710</v>
      </c>
    </row>
    <row r="4" spans="1:3" x14ac:dyDescent="0.25">
      <c r="A4" s="80" t="s">
        <v>90</v>
      </c>
      <c r="B4" s="91" t="s">
        <v>87</v>
      </c>
      <c r="C4" s="85">
        <v>1700</v>
      </c>
    </row>
    <row r="5" spans="1:3" x14ac:dyDescent="0.25">
      <c r="A5" s="80" t="s">
        <v>92</v>
      </c>
      <c r="B5" s="91" t="s">
        <v>87</v>
      </c>
      <c r="C5" s="85">
        <v>1690</v>
      </c>
    </row>
    <row r="6" spans="1:3" x14ac:dyDescent="0.25">
      <c r="A6" s="79" t="s">
        <v>80</v>
      </c>
      <c r="B6" s="90" t="s">
        <v>75</v>
      </c>
      <c r="C6" s="84">
        <v>1660</v>
      </c>
    </row>
    <row r="7" spans="1:3" x14ac:dyDescent="0.25">
      <c r="A7" s="80" t="s">
        <v>91</v>
      </c>
      <c r="B7" s="91" t="s">
        <v>87</v>
      </c>
      <c r="C7" s="85">
        <v>1650</v>
      </c>
    </row>
    <row r="8" spans="1:3" x14ac:dyDescent="0.25">
      <c r="A8" s="79" t="s">
        <v>79</v>
      </c>
      <c r="B8" s="90" t="s">
        <v>75</v>
      </c>
      <c r="C8" s="84">
        <v>1640</v>
      </c>
    </row>
    <row r="9" spans="1:3" x14ac:dyDescent="0.25">
      <c r="A9" s="79" t="s">
        <v>81</v>
      </c>
      <c r="B9" s="90" t="s">
        <v>75</v>
      </c>
      <c r="C9" s="84">
        <v>1630</v>
      </c>
    </row>
    <row r="10" spans="1:3" x14ac:dyDescent="0.25">
      <c r="A10" s="79" t="s">
        <v>74</v>
      </c>
      <c r="B10" s="90" t="s">
        <v>75</v>
      </c>
      <c r="C10" s="84">
        <v>1630</v>
      </c>
    </row>
    <row r="11" spans="1:3" x14ac:dyDescent="0.25">
      <c r="A11" s="80" t="s">
        <v>93</v>
      </c>
      <c r="B11" s="91" t="s">
        <v>87</v>
      </c>
      <c r="C11" s="85">
        <v>1620</v>
      </c>
    </row>
    <row r="12" spans="1:3" x14ac:dyDescent="0.25">
      <c r="A12" s="80" t="s">
        <v>88</v>
      </c>
      <c r="B12" s="91" t="s">
        <v>87</v>
      </c>
      <c r="C12" s="85">
        <v>1620</v>
      </c>
    </row>
    <row r="13" spans="1:3" x14ac:dyDescent="0.25">
      <c r="A13" s="80" t="s">
        <v>86</v>
      </c>
      <c r="B13" s="91" t="s">
        <v>87</v>
      </c>
      <c r="C13" s="85">
        <v>1610</v>
      </c>
    </row>
    <row r="14" spans="1:3" x14ac:dyDescent="0.25">
      <c r="A14" s="80" t="s">
        <v>94</v>
      </c>
      <c r="B14" s="91" t="s">
        <v>87</v>
      </c>
      <c r="C14" s="85">
        <v>1570</v>
      </c>
    </row>
    <row r="15" spans="1:3" x14ac:dyDescent="0.25">
      <c r="A15" s="79" t="s">
        <v>82</v>
      </c>
      <c r="B15" s="90" t="s">
        <v>75</v>
      </c>
      <c r="C15" s="84">
        <v>1530</v>
      </c>
    </row>
    <row r="16" spans="1:3" x14ac:dyDescent="0.25">
      <c r="A16" s="79" t="s">
        <v>83</v>
      </c>
      <c r="B16" s="90" t="s">
        <v>75</v>
      </c>
      <c r="C16" s="84">
        <v>1530</v>
      </c>
    </row>
    <row r="17" spans="1:3" x14ac:dyDescent="0.25">
      <c r="A17" s="79" t="s">
        <v>85</v>
      </c>
      <c r="B17" s="90" t="s">
        <v>75</v>
      </c>
      <c r="C17" s="84">
        <v>1510</v>
      </c>
    </row>
    <row r="18" spans="1:3" x14ac:dyDescent="0.25">
      <c r="A18" s="79" t="s">
        <v>84</v>
      </c>
      <c r="B18" s="90" t="s">
        <v>75</v>
      </c>
      <c r="C18" s="84">
        <v>1500</v>
      </c>
    </row>
    <row r="19" spans="1:3" x14ac:dyDescent="0.25">
      <c r="A19" s="81" t="s">
        <v>95</v>
      </c>
      <c r="B19" s="92"/>
      <c r="C19" s="82">
        <f>AVERAGE(C2,C6,C8:C10,C15:C18)</f>
        <v>1593.3333333333333</v>
      </c>
    </row>
    <row r="20" spans="1:3" x14ac:dyDescent="0.25">
      <c r="A20" s="81" t="s">
        <v>96</v>
      </c>
      <c r="B20" s="92"/>
      <c r="C20" s="82">
        <f>AVERAGE(C11:C14,C7,C3:C5)</f>
        <v>1646.25</v>
      </c>
    </row>
  </sheetData>
  <sortState ref="A2:C18">
    <sortCondition descending="1" ref="C2:C1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G50" sqref="G50"/>
    </sheetView>
  </sheetViews>
  <sheetFormatPr defaultRowHeight="15" x14ac:dyDescent="0.25"/>
  <cols>
    <col min="1" max="1" width="13.42578125" customWidth="1"/>
    <col min="2" max="2" width="14.28515625" customWidth="1"/>
    <col min="3" max="3" width="15.42578125" customWidth="1"/>
    <col min="4" max="7" width="13.28515625" customWidth="1"/>
  </cols>
  <sheetData>
    <row r="1" spans="1:7" ht="15.75" x14ac:dyDescent="0.25">
      <c r="A1" s="9"/>
      <c r="B1" s="111" t="s">
        <v>34</v>
      </c>
      <c r="C1" s="111"/>
      <c r="D1" s="111" t="s">
        <v>26</v>
      </c>
      <c r="E1" s="111"/>
      <c r="F1" s="111"/>
      <c r="G1" s="111"/>
    </row>
    <row r="2" spans="1:7" ht="15.75" x14ac:dyDescent="0.25">
      <c r="A2" s="9"/>
      <c r="B2" s="111" t="s">
        <v>36</v>
      </c>
      <c r="C2" s="111"/>
      <c r="D2" s="111"/>
      <c r="E2" s="111"/>
      <c r="F2" s="111"/>
      <c r="G2" s="111"/>
    </row>
    <row r="3" spans="1:7" ht="15.75" x14ac:dyDescent="0.25">
      <c r="A3" s="6" t="s">
        <v>66</v>
      </c>
      <c r="B3" s="14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</row>
    <row r="4" spans="1:7" ht="15.75" x14ac:dyDescent="0.25">
      <c r="A4" s="9"/>
      <c r="B4" s="13" t="s">
        <v>27</v>
      </c>
      <c r="C4" s="13" t="s">
        <v>28</v>
      </c>
      <c r="D4" s="111" t="s">
        <v>27</v>
      </c>
      <c r="E4" s="111"/>
      <c r="F4" s="111" t="s">
        <v>28</v>
      </c>
      <c r="G4" s="111"/>
    </row>
    <row r="5" spans="1:7" ht="15.75" x14ac:dyDescent="0.25">
      <c r="A5" s="9"/>
      <c r="B5" s="13" t="s">
        <v>35</v>
      </c>
      <c r="C5" s="13" t="s">
        <v>35</v>
      </c>
      <c r="D5" s="13" t="s">
        <v>35</v>
      </c>
      <c r="E5" s="15" t="s">
        <v>29</v>
      </c>
      <c r="F5" s="13" t="s">
        <v>35</v>
      </c>
      <c r="G5" s="15" t="s">
        <v>29</v>
      </c>
    </row>
    <row r="6" spans="1:7" ht="15.75" x14ac:dyDescent="0.25">
      <c r="A6" s="6" t="s">
        <v>30</v>
      </c>
      <c r="B6" s="21">
        <v>460</v>
      </c>
      <c r="C6" s="10">
        <v>440</v>
      </c>
      <c r="D6" s="21">
        <v>510</v>
      </c>
      <c r="E6" s="21">
        <v>510</v>
      </c>
      <c r="F6" s="10">
        <v>480</v>
      </c>
      <c r="G6" s="21">
        <v>510</v>
      </c>
    </row>
    <row r="7" spans="1:7" ht="15.75" x14ac:dyDescent="0.25">
      <c r="A7" s="6" t="s">
        <v>31</v>
      </c>
      <c r="B7" s="21">
        <v>460</v>
      </c>
      <c r="C7" s="10">
        <v>435</v>
      </c>
      <c r="D7" s="21">
        <v>510</v>
      </c>
      <c r="E7" s="21">
        <v>510</v>
      </c>
      <c r="F7" s="10">
        <v>460</v>
      </c>
      <c r="G7" s="21">
        <v>510</v>
      </c>
    </row>
    <row r="8" spans="1:7" ht="15.75" x14ac:dyDescent="0.25">
      <c r="A8" s="6" t="s">
        <v>32</v>
      </c>
      <c r="B8" s="21">
        <v>460</v>
      </c>
      <c r="C8" s="10">
        <v>430</v>
      </c>
      <c r="D8" s="21">
        <v>510</v>
      </c>
      <c r="E8" s="21">
        <v>510</v>
      </c>
      <c r="F8" s="10">
        <v>430</v>
      </c>
      <c r="G8" s="21">
        <f t="shared" ref="G8:G9" si="0">E8</f>
        <v>510</v>
      </c>
    </row>
    <row r="9" spans="1:7" ht="15.75" x14ac:dyDescent="0.25">
      <c r="A9" s="6" t="s">
        <v>33</v>
      </c>
      <c r="B9" s="21">
        <v>460</v>
      </c>
      <c r="C9" s="10">
        <v>425</v>
      </c>
      <c r="D9" s="21">
        <v>510</v>
      </c>
      <c r="E9" s="21">
        <v>510</v>
      </c>
      <c r="F9" s="10">
        <v>410</v>
      </c>
      <c r="G9" s="21">
        <f t="shared" si="0"/>
        <v>510</v>
      </c>
    </row>
    <row r="10" spans="1:7" ht="15.75" x14ac:dyDescent="0.25">
      <c r="A10" s="6" t="s">
        <v>0</v>
      </c>
      <c r="B10" s="21">
        <v>460</v>
      </c>
      <c r="C10" s="10">
        <v>400</v>
      </c>
      <c r="D10" s="21">
        <v>510</v>
      </c>
      <c r="E10" s="21">
        <v>510</v>
      </c>
      <c r="F10" s="10">
        <v>385</v>
      </c>
      <c r="G10" s="12">
        <v>465</v>
      </c>
    </row>
    <row r="11" spans="1:7" ht="15.75" x14ac:dyDescent="0.25">
      <c r="A11" s="6" t="s">
        <v>1</v>
      </c>
      <c r="B11" s="21">
        <v>460</v>
      </c>
      <c r="C11" s="10">
        <v>380</v>
      </c>
      <c r="D11" s="10">
        <v>500</v>
      </c>
      <c r="E11" s="21">
        <v>510</v>
      </c>
      <c r="F11" s="10">
        <v>370</v>
      </c>
      <c r="G11" s="12">
        <v>450</v>
      </c>
    </row>
    <row r="12" spans="1:7" ht="15.75" x14ac:dyDescent="0.25">
      <c r="A12" s="6" t="s">
        <v>2</v>
      </c>
      <c r="B12" s="21">
        <v>460</v>
      </c>
      <c r="C12" s="10">
        <v>365</v>
      </c>
      <c r="D12" s="10">
        <v>490</v>
      </c>
      <c r="E12" s="21">
        <v>510</v>
      </c>
      <c r="F12" s="10">
        <v>355</v>
      </c>
      <c r="G12" s="12">
        <v>440</v>
      </c>
    </row>
    <row r="13" spans="1:7" ht="15.75" x14ac:dyDescent="0.25">
      <c r="A13" s="6" t="s">
        <v>3</v>
      </c>
      <c r="B13" s="21">
        <v>460</v>
      </c>
      <c r="C13" s="10">
        <v>345</v>
      </c>
      <c r="D13" s="10">
        <v>470</v>
      </c>
      <c r="E13" s="21">
        <v>510</v>
      </c>
      <c r="F13" s="10">
        <v>335</v>
      </c>
      <c r="G13" s="12">
        <v>430</v>
      </c>
    </row>
    <row r="14" spans="1:7" ht="15.75" x14ac:dyDescent="0.25">
      <c r="A14" s="6" t="s">
        <v>4</v>
      </c>
      <c r="B14" s="21">
        <v>460</v>
      </c>
      <c r="C14" s="10">
        <v>335</v>
      </c>
      <c r="D14" s="10">
        <v>455</v>
      </c>
      <c r="E14" s="21">
        <v>510</v>
      </c>
      <c r="F14" s="10">
        <v>330</v>
      </c>
      <c r="G14" s="12">
        <v>415</v>
      </c>
    </row>
    <row r="15" spans="1:7" ht="15.75" x14ac:dyDescent="0.25">
      <c r="A15" s="6" t="s">
        <v>5</v>
      </c>
      <c r="B15" s="21">
        <v>460</v>
      </c>
      <c r="C15" s="10">
        <v>320</v>
      </c>
      <c r="D15" s="10">
        <v>440</v>
      </c>
      <c r="E15" s="21">
        <v>510</v>
      </c>
      <c r="F15" s="10">
        <v>315</v>
      </c>
      <c r="G15" s="12">
        <v>400</v>
      </c>
    </row>
    <row r="16" spans="1:7" ht="15.75" x14ac:dyDescent="0.25">
      <c r="A16" s="6" t="s">
        <v>6</v>
      </c>
      <c r="B16" s="10">
        <v>430</v>
      </c>
      <c r="C16" s="10">
        <v>305</v>
      </c>
      <c r="D16" s="10">
        <v>415</v>
      </c>
      <c r="E16" s="21">
        <v>510</v>
      </c>
      <c r="F16" s="10">
        <v>295</v>
      </c>
      <c r="G16" s="12">
        <v>380</v>
      </c>
    </row>
    <row r="17" spans="1:7" ht="15.75" x14ac:dyDescent="0.25">
      <c r="A17" s="6" t="s">
        <v>7</v>
      </c>
      <c r="B17" s="10">
        <v>405</v>
      </c>
      <c r="C17" s="10">
        <v>285</v>
      </c>
      <c r="D17" s="10">
        <v>390</v>
      </c>
      <c r="E17" s="21">
        <v>510</v>
      </c>
      <c r="F17" s="10">
        <v>280</v>
      </c>
      <c r="G17" s="12">
        <v>360</v>
      </c>
    </row>
    <row r="18" spans="1:7" ht="15.75" x14ac:dyDescent="0.25">
      <c r="A18" s="6" t="s">
        <v>8</v>
      </c>
      <c r="B18" s="10">
        <v>375</v>
      </c>
      <c r="C18" s="10">
        <v>265</v>
      </c>
      <c r="D18" s="10">
        <v>365</v>
      </c>
      <c r="E18" s="11">
        <v>470</v>
      </c>
      <c r="F18" s="10">
        <v>265</v>
      </c>
      <c r="G18" s="12">
        <v>330</v>
      </c>
    </row>
    <row r="19" spans="1:7" ht="15.75" x14ac:dyDescent="0.25">
      <c r="A19" s="6" t="s">
        <v>9</v>
      </c>
      <c r="B19" s="10">
        <v>360</v>
      </c>
      <c r="C19" s="10">
        <v>240</v>
      </c>
      <c r="D19" s="10">
        <v>330</v>
      </c>
      <c r="E19" s="11">
        <v>460</v>
      </c>
      <c r="F19" s="10">
        <v>240</v>
      </c>
      <c r="G19" s="12">
        <v>315</v>
      </c>
    </row>
    <row r="20" spans="1:7" ht="15.75" x14ac:dyDescent="0.25">
      <c r="A20" s="6" t="s">
        <v>10</v>
      </c>
      <c r="B20" s="10">
        <v>360</v>
      </c>
      <c r="C20" s="10">
        <v>225</v>
      </c>
      <c r="D20" s="10">
        <v>305</v>
      </c>
      <c r="E20" s="11">
        <v>450</v>
      </c>
      <c r="F20" s="10">
        <v>220</v>
      </c>
      <c r="G20" s="12">
        <v>300</v>
      </c>
    </row>
    <row r="21" spans="1:7" ht="15.75" x14ac:dyDescent="0.25">
      <c r="A21" s="6" t="s">
        <v>11</v>
      </c>
      <c r="B21" s="10">
        <v>340</v>
      </c>
      <c r="C21" s="10">
        <v>215</v>
      </c>
      <c r="D21" s="10">
        <v>290</v>
      </c>
      <c r="E21" s="11">
        <v>440</v>
      </c>
      <c r="F21" s="10">
        <v>215</v>
      </c>
      <c r="G21" s="12">
        <v>290</v>
      </c>
    </row>
    <row r="22" spans="1:7" ht="15.75" x14ac:dyDescent="0.25">
      <c r="A22" s="6" t="s">
        <v>12</v>
      </c>
      <c r="B22" s="10">
        <v>285</v>
      </c>
      <c r="C22" s="10">
        <v>205</v>
      </c>
      <c r="D22" s="10">
        <v>289</v>
      </c>
      <c r="E22" s="11">
        <v>380</v>
      </c>
      <c r="F22" s="10">
        <v>205</v>
      </c>
      <c r="G22" s="12">
        <v>270</v>
      </c>
    </row>
    <row r="23" spans="1:7" ht="15.75" x14ac:dyDescent="0.25">
      <c r="A23" s="6" t="s">
        <v>13</v>
      </c>
      <c r="B23" s="10">
        <v>270</v>
      </c>
      <c r="C23" s="10">
        <v>195</v>
      </c>
      <c r="D23" s="10">
        <v>270</v>
      </c>
      <c r="E23" s="11">
        <v>360</v>
      </c>
      <c r="F23" s="10">
        <v>195</v>
      </c>
      <c r="G23" s="12">
        <v>250</v>
      </c>
    </row>
  </sheetData>
  <mergeCells count="5">
    <mergeCell ref="B1:C1"/>
    <mergeCell ref="D1:G1"/>
    <mergeCell ref="B2:G2"/>
    <mergeCell ref="D4:E4"/>
    <mergeCell ref="F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 summaryBelow="0"/>
  </sheetPr>
  <dimension ref="A1:V325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F222" sqref="F222:I222"/>
    </sheetView>
  </sheetViews>
  <sheetFormatPr defaultRowHeight="15" outlineLevelRow="1" x14ac:dyDescent="0.25"/>
  <cols>
    <col min="1" max="1" width="11.5703125" style="16" customWidth="1"/>
    <col min="2" max="2" width="6.85546875" style="20" hidden="1" customWidth="1"/>
    <col min="3" max="3" width="11.85546875" style="57" customWidth="1"/>
    <col min="4" max="5" width="9.42578125" style="16" bestFit="1" customWidth="1"/>
    <col min="6" max="9" width="12.28515625" style="45" bestFit="1" customWidth="1"/>
    <col min="10" max="12" width="13.42578125" style="45" bestFit="1" customWidth="1"/>
    <col min="13" max="14" width="14.42578125" style="45" bestFit="1" customWidth="1"/>
    <col min="15" max="15" width="10.7109375" style="16" customWidth="1"/>
    <col min="16" max="16" width="10.7109375" style="24" customWidth="1"/>
    <col min="17" max="17" width="12" style="24" bestFit="1" customWidth="1"/>
    <col min="18" max="18" width="12" style="23" bestFit="1" customWidth="1"/>
    <col min="19" max="19" width="8.28515625" style="41" customWidth="1"/>
    <col min="20" max="20" width="8.28515625" style="20" customWidth="1"/>
    <col min="21" max="21" width="12.5703125" style="16" hidden="1" customWidth="1"/>
    <col min="22" max="22" width="12" style="16" hidden="1" customWidth="1"/>
    <col min="23" max="16384" width="9.140625" style="16"/>
  </cols>
  <sheetData>
    <row r="1" spans="1:22" ht="25.5" customHeight="1" x14ac:dyDescent="0.25">
      <c r="B1" s="123" t="s">
        <v>72</v>
      </c>
      <c r="C1" s="123"/>
      <c r="D1" s="123"/>
      <c r="E1" s="123"/>
      <c r="F1" s="123"/>
      <c r="G1" s="123"/>
      <c r="H1" s="123"/>
      <c r="I1" s="123"/>
      <c r="J1" s="123"/>
      <c r="K1" s="123"/>
      <c r="O1"/>
      <c r="P1"/>
      <c r="Q1"/>
    </row>
    <row r="2" spans="1:22" x14ac:dyDescent="0.25">
      <c r="B2" s="112" t="s">
        <v>37</v>
      </c>
      <c r="C2" s="112"/>
      <c r="D2" s="112"/>
      <c r="E2" s="112"/>
      <c r="F2" s="76">
        <v>0.01</v>
      </c>
      <c r="G2" s="112" t="s">
        <v>101</v>
      </c>
      <c r="H2" s="112"/>
      <c r="I2" s="112"/>
      <c r="J2" s="112"/>
      <c r="K2" s="59">
        <v>100</v>
      </c>
      <c r="O2"/>
      <c r="P2"/>
      <c r="Q2"/>
    </row>
    <row r="3" spans="1:22" x14ac:dyDescent="0.25">
      <c r="B3" s="112" t="s">
        <v>38</v>
      </c>
      <c r="C3" s="112"/>
      <c r="D3" s="112"/>
      <c r="E3" s="112"/>
      <c r="F3" s="76">
        <v>0</v>
      </c>
      <c r="G3" s="117" t="s">
        <v>45</v>
      </c>
      <c r="H3" s="118"/>
      <c r="I3" s="118"/>
      <c r="J3" s="119"/>
      <c r="K3" s="75">
        <f>1.2*K2*1000</f>
        <v>120000</v>
      </c>
      <c r="O3"/>
      <c r="P3"/>
      <c r="Q3"/>
    </row>
    <row r="4" spans="1:22" x14ac:dyDescent="0.25">
      <c r="B4" s="112" t="s">
        <v>39</v>
      </c>
      <c r="C4" s="112"/>
      <c r="D4" s="112"/>
      <c r="E4" s="112"/>
      <c r="F4" s="76">
        <v>0.02</v>
      </c>
      <c r="G4" s="117" t="s">
        <v>61</v>
      </c>
      <c r="H4" s="118"/>
      <c r="I4" s="118"/>
      <c r="J4" s="119"/>
      <c r="K4" s="60">
        <v>1200</v>
      </c>
      <c r="O4"/>
      <c r="P4"/>
      <c r="Q4"/>
    </row>
    <row r="5" spans="1:22" x14ac:dyDescent="0.25">
      <c r="B5" s="112" t="s">
        <v>42</v>
      </c>
      <c r="C5" s="112"/>
      <c r="D5" s="112"/>
      <c r="E5" s="112"/>
      <c r="F5" s="77">
        <v>0.26</v>
      </c>
      <c r="G5" s="117" t="s">
        <v>100</v>
      </c>
      <c r="H5" s="118"/>
      <c r="I5" s="118"/>
      <c r="J5" s="119"/>
      <c r="K5" s="60">
        <v>1800</v>
      </c>
      <c r="O5"/>
      <c r="P5"/>
      <c r="Q5"/>
    </row>
    <row r="6" spans="1:22" x14ac:dyDescent="0.25">
      <c r="B6" s="112" t="s">
        <v>99</v>
      </c>
      <c r="C6" s="112"/>
      <c r="D6" s="112"/>
      <c r="E6" s="112"/>
      <c r="F6" s="77">
        <v>8.5000000000000006E-2</v>
      </c>
      <c r="G6" s="120" t="s">
        <v>59</v>
      </c>
      <c r="H6" s="121"/>
      <c r="I6" s="121"/>
      <c r="J6" s="122"/>
      <c r="K6" s="83">
        <v>2</v>
      </c>
      <c r="O6"/>
      <c r="P6"/>
      <c r="Q6"/>
    </row>
    <row r="7" spans="1:22" x14ac:dyDescent="0.25">
      <c r="B7" s="112" t="s">
        <v>63</v>
      </c>
      <c r="C7" s="112"/>
      <c r="D7" s="112"/>
      <c r="E7" s="112"/>
      <c r="F7" s="78">
        <v>4</v>
      </c>
      <c r="G7" s="113" t="s">
        <v>60</v>
      </c>
      <c r="H7" s="113"/>
      <c r="I7" s="113"/>
      <c r="J7" s="113"/>
      <c r="K7" s="83">
        <v>3</v>
      </c>
      <c r="O7"/>
      <c r="P7"/>
      <c r="Q7"/>
    </row>
    <row r="8" spans="1:22" x14ac:dyDescent="0.25">
      <c r="B8" s="112" t="s">
        <v>102</v>
      </c>
      <c r="C8" s="112"/>
      <c r="D8" s="112"/>
      <c r="E8" s="112"/>
      <c r="F8" s="61">
        <f>Παραγωγές!C19</f>
        <v>1593.3333333333333</v>
      </c>
      <c r="G8" s="113" t="s">
        <v>62</v>
      </c>
      <c r="H8" s="113"/>
      <c r="I8" s="113"/>
      <c r="J8" s="113"/>
      <c r="K8" s="83">
        <v>8</v>
      </c>
      <c r="O8"/>
      <c r="P8"/>
      <c r="Q8"/>
    </row>
    <row r="9" spans="1:22" x14ac:dyDescent="0.25">
      <c r="F9" s="58"/>
      <c r="O9"/>
      <c r="P9"/>
      <c r="Q9"/>
    </row>
    <row r="10" spans="1:22" ht="27" customHeight="1" x14ac:dyDescent="0.25">
      <c r="C10" s="114" t="s">
        <v>69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6"/>
    </row>
    <row r="11" spans="1:22" ht="100.5" customHeight="1" x14ac:dyDescent="0.25">
      <c r="A11" s="18"/>
      <c r="B11" s="29" t="s">
        <v>40</v>
      </c>
      <c r="C11" s="53" t="s">
        <v>58</v>
      </c>
      <c r="D11" s="29" t="s">
        <v>52</v>
      </c>
      <c r="E11" s="29" t="s">
        <v>53</v>
      </c>
      <c r="F11" s="49" t="s">
        <v>44</v>
      </c>
      <c r="G11" s="49" t="s">
        <v>46</v>
      </c>
      <c r="H11" s="49" t="s">
        <v>47</v>
      </c>
      <c r="I11" s="49" t="s">
        <v>48</v>
      </c>
      <c r="J11" s="49" t="s">
        <v>41</v>
      </c>
      <c r="K11" s="49" t="s">
        <v>54</v>
      </c>
      <c r="L11" s="49" t="s">
        <v>55</v>
      </c>
      <c r="M11" s="49" t="s">
        <v>56</v>
      </c>
      <c r="N11" s="49" t="s">
        <v>57</v>
      </c>
      <c r="O11" s="30" t="s">
        <v>51</v>
      </c>
      <c r="P11" s="31" t="s">
        <v>43</v>
      </c>
      <c r="Q11" s="31" t="s">
        <v>49</v>
      </c>
      <c r="R11" s="31" t="s">
        <v>50</v>
      </c>
      <c r="S11" s="29" t="s">
        <v>64</v>
      </c>
      <c r="T11" s="29" t="s">
        <v>65</v>
      </c>
      <c r="U11" s="26">
        <f>O12</f>
        <v>-422000</v>
      </c>
      <c r="V11" s="26">
        <f>R12</f>
        <v>-342800</v>
      </c>
    </row>
    <row r="12" spans="1:22" collapsed="1" x14ac:dyDescent="0.25">
      <c r="A12" s="32" t="str">
        <f>Ταρίφες!A10</f>
        <v>Α Τριμ. 2010</v>
      </c>
      <c r="B12" s="38">
        <f>1</f>
        <v>1</v>
      </c>
      <c r="C12" s="54">
        <f>$F$8*$K$2/1000</f>
        <v>159.33333333333331</v>
      </c>
      <c r="D12" s="33">
        <f>C12*VLOOKUP($A$12,Ταρίφες!$A$6:$G$23,$K$6,FALSE)*(1+$F$3)^(B12-1)</f>
        <v>73293.333333333328</v>
      </c>
      <c r="E12" s="33">
        <f>C12*VLOOKUP($A$12,Ταρίφες!$A$6:$G$23,$K$7,FALSE)*(1+$F$3)^(B12-1)</f>
        <v>63733.333333333328</v>
      </c>
      <c r="F12" s="46">
        <f t="shared" ref="F12:F31" si="0">-($K$5*(1+$F$4)^(B12-$B$12))</f>
        <v>-1800</v>
      </c>
      <c r="G12" s="47">
        <f t="shared" ref="G12:G31" si="1">-$K$2*10*(1+$F$4)^(B12-$B$12)</f>
        <v>-1000</v>
      </c>
      <c r="H12" s="47">
        <f t="shared" ref="H12:H31" si="2">-$K$4*(1+$F$4)^(B12-$B$12)</f>
        <v>-1200</v>
      </c>
      <c r="I12" s="46">
        <f>-(4500*(1+$F$4)^(B12-$B$12))</f>
        <v>-4500</v>
      </c>
      <c r="J12" s="47">
        <f t="shared" ref="J12:J31" si="3">$O$12*4%</f>
        <v>-16880</v>
      </c>
      <c r="K12" s="47">
        <f>-(D12+SUM(F12:J12))*$F$5</f>
        <v>-12457.466666666665</v>
      </c>
      <c r="L12" s="47">
        <f>-(E12+SUM(F12:J12))*$F$5</f>
        <v>-9971.866666666665</v>
      </c>
      <c r="M12" s="47">
        <f>D12+SUM(F12:I12)+K12</f>
        <v>52335.866666666661</v>
      </c>
      <c r="N12" s="47">
        <f>E12+SUM(F12:I12)+L12</f>
        <v>45261.46666666666</v>
      </c>
      <c r="O12" s="35">
        <f>-VLOOKUP(A12,'Κόστος Κατασκευής'!$A$4:$Q$17,$K$8,FALSE)</f>
        <v>-422000</v>
      </c>
      <c r="P12" s="36">
        <f>$K$3</f>
        <v>120000</v>
      </c>
      <c r="Q12" s="36">
        <f>-P12*$F$7*$F$6</f>
        <v>-40800</v>
      </c>
      <c r="R12" s="37">
        <f>SUM(O12:Q12)</f>
        <v>-342800</v>
      </c>
      <c r="S12" s="42">
        <f>IRR(U11:U31)</f>
        <v>9.5305251883307296E-2</v>
      </c>
      <c r="T12" s="42">
        <f>IRR(V11:V31)</f>
        <v>0.10445828229032617</v>
      </c>
      <c r="U12" s="27">
        <f>M12</f>
        <v>52335.866666666661</v>
      </c>
      <c r="V12" s="28">
        <f>N12</f>
        <v>45261.46666666666</v>
      </c>
    </row>
    <row r="13" spans="1:22" hidden="1" outlineLevel="1" x14ac:dyDescent="0.25">
      <c r="A13" s="18"/>
      <c r="B13" s="38">
        <f t="shared" ref="B13:B52" si="4">B12+1</f>
        <v>2</v>
      </c>
      <c r="C13" s="54">
        <f t="shared" ref="C13:C31" si="5">C12*(1-$F$2)</f>
        <v>157.73999999999998</v>
      </c>
      <c r="D13" s="33">
        <f>C13*VLOOKUP($A$12,Ταρίφες!$A$6:$G$23,$K$6,FALSE)*(1+$F$3)^(B13-1)</f>
        <v>72560.399999999994</v>
      </c>
      <c r="E13" s="33">
        <f>C13*VLOOKUP($A$12,Ταρίφες!$A$6:$G$23,$K$7,FALSE)*(1+$F$3)^(B13-1)</f>
        <v>63095.999999999993</v>
      </c>
      <c r="F13" s="46">
        <f t="shared" si="0"/>
        <v>-1836</v>
      </c>
      <c r="G13" s="47">
        <f t="shared" si="1"/>
        <v>-1020</v>
      </c>
      <c r="H13" s="47">
        <f t="shared" si="2"/>
        <v>-1224</v>
      </c>
      <c r="I13" s="46">
        <f t="shared" ref="I13:I31" si="6">-(4500*(1+$F$4)^(B13-$B$12))</f>
        <v>-4590</v>
      </c>
      <c r="J13" s="47">
        <f t="shared" si="3"/>
        <v>-16880</v>
      </c>
      <c r="K13" s="47">
        <f t="shared" ref="K13:K31" si="7">-(D13+SUM(F13:J13))*$F$5</f>
        <v>-12222.704</v>
      </c>
      <c r="L13" s="47">
        <f t="shared" ref="L13:L31" si="8">-(E13+SUM(F13:J13))*$F$5</f>
        <v>-9761.9599999999991</v>
      </c>
      <c r="M13" s="47">
        <f t="shared" ref="M13:M31" si="9">D13+SUM(F13:I13)+K13</f>
        <v>51667.695999999996</v>
      </c>
      <c r="N13" s="47">
        <f t="shared" ref="N13:N31" si="10">E13+SUM(F13:I13)+L13</f>
        <v>44664.039999999994</v>
      </c>
      <c r="O13" s="34"/>
      <c r="P13" s="35"/>
      <c r="Q13" s="35"/>
      <c r="R13" s="33"/>
      <c r="S13" s="43"/>
      <c r="T13" s="19"/>
      <c r="U13" s="27">
        <f t="shared" ref="U13:V30" si="11">M13</f>
        <v>51667.695999999996</v>
      </c>
      <c r="V13" s="28">
        <f t="shared" si="11"/>
        <v>44664.039999999994</v>
      </c>
    </row>
    <row r="14" spans="1:22" hidden="1" outlineLevel="1" x14ac:dyDescent="0.25">
      <c r="A14" s="18"/>
      <c r="B14" s="38">
        <f t="shared" si="4"/>
        <v>3</v>
      </c>
      <c r="C14" s="54">
        <f t="shared" si="5"/>
        <v>156.16259999999997</v>
      </c>
      <c r="D14" s="33">
        <f>C14*VLOOKUP($A$12,Ταρίφες!$A$6:$G$23,$K$6,FALSE)*(1+$F$3)^(B14-1)</f>
        <v>71834.795999999988</v>
      </c>
      <c r="E14" s="33">
        <f>C14*VLOOKUP($A$12,Ταρίφες!$A$6:$G$23,$K$7,FALSE)*(1+$F$3)^(B14-1)</f>
        <v>62465.039999999986</v>
      </c>
      <c r="F14" s="46">
        <f t="shared" si="0"/>
        <v>-1872.72</v>
      </c>
      <c r="G14" s="47">
        <f t="shared" si="1"/>
        <v>-1040.4000000000001</v>
      </c>
      <c r="H14" s="47">
        <f t="shared" si="2"/>
        <v>-1248.48</v>
      </c>
      <c r="I14" s="46">
        <f t="shared" si="6"/>
        <v>-4681.8</v>
      </c>
      <c r="J14" s="47">
        <f t="shared" si="3"/>
        <v>-16880</v>
      </c>
      <c r="K14" s="47">
        <f t="shared" si="7"/>
        <v>-11988.962959999997</v>
      </c>
      <c r="L14" s="47">
        <f t="shared" si="8"/>
        <v>-9552.8263999999963</v>
      </c>
      <c r="M14" s="47">
        <f t="shared" si="9"/>
        <v>51002.433039999989</v>
      </c>
      <c r="N14" s="47">
        <f t="shared" si="10"/>
        <v>44068.813599999987</v>
      </c>
      <c r="O14" s="34"/>
      <c r="P14" s="35"/>
      <c r="Q14" s="35"/>
      <c r="R14" s="33"/>
      <c r="S14" s="43"/>
      <c r="T14" s="19"/>
      <c r="U14" s="27">
        <f t="shared" si="11"/>
        <v>51002.433039999989</v>
      </c>
      <c r="V14" s="28">
        <f t="shared" si="11"/>
        <v>44068.813599999987</v>
      </c>
    </row>
    <row r="15" spans="1:22" hidden="1" outlineLevel="1" x14ac:dyDescent="0.25">
      <c r="A15" s="18"/>
      <c r="B15" s="38">
        <f t="shared" si="4"/>
        <v>4</v>
      </c>
      <c r="C15" s="54">
        <f t="shared" si="5"/>
        <v>154.60097399999998</v>
      </c>
      <c r="D15" s="33">
        <f>C15*VLOOKUP($A$12,Ταρίφες!$A$6:$G$23,$K$6,FALSE)*(1+$F$3)^(B15-1)</f>
        <v>71116.448039999988</v>
      </c>
      <c r="E15" s="33">
        <f>C15*VLOOKUP($A$12,Ταρίφες!$A$6:$G$23,$K$7,FALSE)*(1+$F$3)^(B15-1)</f>
        <v>61840.389599999995</v>
      </c>
      <c r="F15" s="46">
        <f t="shared" si="0"/>
        <v>-1910.1743999999999</v>
      </c>
      <c r="G15" s="47">
        <f t="shared" si="1"/>
        <v>-1061.2079999999999</v>
      </c>
      <c r="H15" s="47">
        <f t="shared" si="2"/>
        <v>-1273.4495999999999</v>
      </c>
      <c r="I15" s="46">
        <f t="shared" si="6"/>
        <v>-4775.4359999999997</v>
      </c>
      <c r="J15" s="47">
        <f t="shared" si="3"/>
        <v>-16880</v>
      </c>
      <c r="K15" s="47">
        <f t="shared" si="7"/>
        <v>-11756.206810399999</v>
      </c>
      <c r="L15" s="47">
        <f t="shared" si="8"/>
        <v>-9344.4316159999998</v>
      </c>
      <c r="M15" s="47">
        <f t="shared" si="9"/>
        <v>50339.973229599993</v>
      </c>
      <c r="N15" s="47">
        <f t="shared" si="10"/>
        <v>43475.689983999997</v>
      </c>
      <c r="O15" s="34"/>
      <c r="P15" s="35"/>
      <c r="Q15" s="35"/>
      <c r="R15" s="33"/>
      <c r="S15" s="43"/>
      <c r="T15" s="19"/>
      <c r="U15" s="27">
        <f t="shared" si="11"/>
        <v>50339.973229599993</v>
      </c>
      <c r="V15" s="28">
        <f t="shared" si="11"/>
        <v>43475.689983999997</v>
      </c>
    </row>
    <row r="16" spans="1:22" hidden="1" outlineLevel="1" x14ac:dyDescent="0.25">
      <c r="A16" s="18"/>
      <c r="B16" s="38">
        <f t="shared" si="4"/>
        <v>5</v>
      </c>
      <c r="C16" s="54">
        <f t="shared" si="5"/>
        <v>153.05496425999999</v>
      </c>
      <c r="D16" s="33">
        <f>C16*VLOOKUP($A$12,Ταρίφες!$A$6:$G$23,$K$6,FALSE)*(1+$F$3)^(B16-1)</f>
        <v>70405.283559599993</v>
      </c>
      <c r="E16" s="33">
        <f>C16*VLOOKUP($A$12,Ταρίφες!$A$6:$G$23,$K$7,FALSE)*(1+$F$3)^(B16-1)</f>
        <v>61221.985703999999</v>
      </c>
      <c r="F16" s="46">
        <f t="shared" si="0"/>
        <v>-1948.377888</v>
      </c>
      <c r="G16" s="47">
        <f t="shared" si="1"/>
        <v>-1082.4321600000001</v>
      </c>
      <c r="H16" s="47">
        <f t="shared" si="2"/>
        <v>-1298.918592</v>
      </c>
      <c r="I16" s="46">
        <f t="shared" si="6"/>
        <v>-4870.9447199999995</v>
      </c>
      <c r="J16" s="47">
        <f t="shared" si="3"/>
        <v>-16880</v>
      </c>
      <c r="K16" s="47">
        <f t="shared" si="7"/>
        <v>-11524.398651895999</v>
      </c>
      <c r="L16" s="47">
        <f t="shared" si="8"/>
        <v>-9136.7412094400006</v>
      </c>
      <c r="M16" s="47">
        <f t="shared" si="9"/>
        <v>49680.211547703992</v>
      </c>
      <c r="N16" s="47">
        <f t="shared" si="10"/>
        <v>42884.571134559999</v>
      </c>
      <c r="O16" s="34"/>
      <c r="P16" s="35"/>
      <c r="Q16" s="35"/>
      <c r="R16" s="33"/>
      <c r="S16" s="43"/>
      <c r="T16" s="19"/>
      <c r="U16" s="27">
        <f t="shared" si="11"/>
        <v>49680.211547703992</v>
      </c>
      <c r="V16" s="28">
        <f t="shared" si="11"/>
        <v>42884.571134559999</v>
      </c>
    </row>
    <row r="17" spans="1:22" hidden="1" outlineLevel="1" x14ac:dyDescent="0.25">
      <c r="A17" s="18"/>
      <c r="B17" s="38">
        <f t="shared" si="4"/>
        <v>6</v>
      </c>
      <c r="C17" s="54">
        <f t="shared" si="5"/>
        <v>151.5244146174</v>
      </c>
      <c r="D17" s="33">
        <f>C17*VLOOKUP($A$12,Ταρίφες!$A$6:$G$23,$K$6,FALSE)*(1+$F$3)^(B17-1)</f>
        <v>69701.230724003995</v>
      </c>
      <c r="E17" s="33">
        <f>C17*VLOOKUP($A$12,Ταρίφες!$A$6:$G$23,$K$7,FALSE)*(1+$F$3)^(B17-1)</f>
        <v>60609.765846959999</v>
      </c>
      <c r="F17" s="46">
        <f t="shared" si="0"/>
        <v>-1987.3454457600001</v>
      </c>
      <c r="G17" s="47">
        <f t="shared" si="1"/>
        <v>-1104.0808032</v>
      </c>
      <c r="H17" s="47">
        <f t="shared" si="2"/>
        <v>-1324.8969638400001</v>
      </c>
      <c r="I17" s="46">
        <f t="shared" si="6"/>
        <v>-4968.3636144000002</v>
      </c>
      <c r="J17" s="47">
        <f t="shared" si="3"/>
        <v>-16880</v>
      </c>
      <c r="K17" s="47">
        <f t="shared" si="7"/>
        <v>-11293.501413169039</v>
      </c>
      <c r="L17" s="47">
        <f t="shared" si="8"/>
        <v>-8929.7205451375994</v>
      </c>
      <c r="M17" s="47">
        <f t="shared" si="9"/>
        <v>49023.042483634956</v>
      </c>
      <c r="N17" s="47">
        <f t="shared" si="10"/>
        <v>42295.358474622401</v>
      </c>
      <c r="O17" s="34"/>
      <c r="P17" s="35"/>
      <c r="Q17" s="35"/>
      <c r="R17" s="33"/>
      <c r="S17" s="43"/>
      <c r="T17" s="19"/>
      <c r="U17" s="27">
        <f t="shared" si="11"/>
        <v>49023.042483634956</v>
      </c>
      <c r="V17" s="28">
        <f t="shared" si="11"/>
        <v>42295.358474622401</v>
      </c>
    </row>
    <row r="18" spans="1:22" hidden="1" outlineLevel="1" x14ac:dyDescent="0.25">
      <c r="A18" s="18"/>
      <c r="B18" s="38">
        <f t="shared" si="4"/>
        <v>7</v>
      </c>
      <c r="C18" s="54">
        <f t="shared" si="5"/>
        <v>150.00917047122599</v>
      </c>
      <c r="D18" s="33">
        <f>C18*VLOOKUP($A$12,Ταρίφες!$A$6:$G$23,$K$6,FALSE)*(1+$F$3)^(B18-1)</f>
        <v>69004.21841676395</v>
      </c>
      <c r="E18" s="33">
        <f>C18*VLOOKUP($A$12,Ταρίφες!$A$6:$G$23,$K$7,FALSE)*(1+$F$3)^(B18-1)</f>
        <v>60003.668188490396</v>
      </c>
      <c r="F18" s="46">
        <f t="shared" si="0"/>
        <v>-2027.0923546752001</v>
      </c>
      <c r="G18" s="47">
        <f t="shared" si="1"/>
        <v>-1126.1624192640002</v>
      </c>
      <c r="H18" s="47">
        <f t="shared" si="2"/>
        <v>-1351.3949031168002</v>
      </c>
      <c r="I18" s="46">
        <f t="shared" si="6"/>
        <v>-5067.7308866880003</v>
      </c>
      <c r="J18" s="47">
        <f t="shared" si="3"/>
        <v>-16880</v>
      </c>
      <c r="K18" s="47">
        <f t="shared" si="7"/>
        <v>-11063.477841785187</v>
      </c>
      <c r="L18" s="47">
        <f t="shared" si="8"/>
        <v>-8723.3347824340635</v>
      </c>
      <c r="M18" s="47">
        <f t="shared" si="9"/>
        <v>48368.360011234763</v>
      </c>
      <c r="N18" s="47">
        <f t="shared" si="10"/>
        <v>41707.952842312327</v>
      </c>
      <c r="O18" s="34"/>
      <c r="P18" s="35"/>
      <c r="Q18" s="35"/>
      <c r="R18" s="33"/>
      <c r="S18" s="43"/>
      <c r="T18" s="19"/>
      <c r="U18" s="27">
        <f t="shared" si="11"/>
        <v>48368.360011234763</v>
      </c>
      <c r="V18" s="28">
        <f t="shared" si="11"/>
        <v>41707.952842312327</v>
      </c>
    </row>
    <row r="19" spans="1:22" hidden="1" outlineLevel="1" x14ac:dyDescent="0.25">
      <c r="A19" s="18"/>
      <c r="B19" s="38">
        <f t="shared" si="4"/>
        <v>8</v>
      </c>
      <c r="C19" s="54">
        <f t="shared" si="5"/>
        <v>148.50907876651374</v>
      </c>
      <c r="D19" s="33">
        <f>C19*VLOOKUP($A$12,Ταρίφες!$A$6:$G$23,$K$6,FALSE)*(1+$F$3)^(B19-1)</f>
        <v>68314.176232596321</v>
      </c>
      <c r="E19" s="33">
        <f>C19*VLOOKUP($A$12,Ταρίφες!$A$6:$G$23,$K$7,FALSE)*(1+$F$3)^(B19-1)</f>
        <v>59403.631506605496</v>
      </c>
      <c r="F19" s="46">
        <f t="shared" si="0"/>
        <v>-2067.6342017687039</v>
      </c>
      <c r="G19" s="47">
        <f t="shared" si="1"/>
        <v>-1148.6856676492798</v>
      </c>
      <c r="H19" s="47">
        <f t="shared" si="2"/>
        <v>-1378.4228011791358</v>
      </c>
      <c r="I19" s="46">
        <f t="shared" si="6"/>
        <v>-5169.0855044217587</v>
      </c>
      <c r="J19" s="47">
        <f t="shared" si="3"/>
        <v>-16880</v>
      </c>
      <c r="K19" s="47">
        <f t="shared" si="7"/>
        <v>-10834.290494970135</v>
      </c>
      <c r="L19" s="47">
        <f t="shared" si="8"/>
        <v>-8517.5488662125208</v>
      </c>
      <c r="M19" s="47">
        <f t="shared" si="9"/>
        <v>47716.057562607311</v>
      </c>
      <c r="N19" s="47">
        <f t="shared" si="10"/>
        <v>41122.254465374099</v>
      </c>
      <c r="O19" s="34"/>
      <c r="P19" s="35"/>
      <c r="Q19" s="35"/>
      <c r="R19" s="33"/>
      <c r="S19" s="43"/>
      <c r="T19" s="19"/>
      <c r="U19" s="27">
        <f t="shared" si="11"/>
        <v>47716.057562607311</v>
      </c>
      <c r="V19" s="28">
        <f t="shared" si="11"/>
        <v>41122.254465374099</v>
      </c>
    </row>
    <row r="20" spans="1:22" hidden="1" outlineLevel="1" x14ac:dyDescent="0.25">
      <c r="A20" s="18"/>
      <c r="B20" s="38">
        <f t="shared" si="4"/>
        <v>9</v>
      </c>
      <c r="C20" s="54">
        <f t="shared" si="5"/>
        <v>147.0239879788486</v>
      </c>
      <c r="D20" s="33">
        <f>C20*VLOOKUP($A$12,Ταρίφες!$A$6:$G$23,$K$6,FALSE)*(1+$F$3)^(B20-1)</f>
        <v>67631.034470270359</v>
      </c>
      <c r="E20" s="33">
        <f>C20*VLOOKUP($A$12,Ταρίφες!$A$6:$G$23,$K$7,FALSE)*(1+$F$3)^(B20-1)</f>
        <v>58809.59519153944</v>
      </c>
      <c r="F20" s="46">
        <f t="shared" si="0"/>
        <v>-2108.9868858040782</v>
      </c>
      <c r="G20" s="47">
        <f t="shared" si="1"/>
        <v>-1171.6593810022655</v>
      </c>
      <c r="H20" s="47">
        <f t="shared" si="2"/>
        <v>-1405.9912572027185</v>
      </c>
      <c r="I20" s="46">
        <f t="shared" si="6"/>
        <v>-5272.4672145101949</v>
      </c>
      <c r="J20" s="47">
        <f t="shared" si="3"/>
        <v>-16880</v>
      </c>
      <c r="K20" s="47">
        <f t="shared" si="7"/>
        <v>-10605.901730255287</v>
      </c>
      <c r="L20" s="47">
        <f t="shared" si="8"/>
        <v>-8312.3275177852483</v>
      </c>
      <c r="M20" s="47">
        <f t="shared" si="9"/>
        <v>47066.028001495812</v>
      </c>
      <c r="N20" s="47">
        <f t="shared" si="10"/>
        <v>40538.162935234934</v>
      </c>
      <c r="O20" s="34"/>
      <c r="P20" s="35"/>
      <c r="Q20" s="35"/>
      <c r="R20" s="33"/>
      <c r="S20" s="43"/>
      <c r="T20" s="19"/>
      <c r="U20" s="27">
        <f t="shared" si="11"/>
        <v>47066.028001495812</v>
      </c>
      <c r="V20" s="28">
        <f t="shared" si="11"/>
        <v>40538.162935234934</v>
      </c>
    </row>
    <row r="21" spans="1:22" hidden="1" outlineLevel="1" x14ac:dyDescent="0.25">
      <c r="A21" s="18"/>
      <c r="B21" s="38">
        <f t="shared" si="4"/>
        <v>10</v>
      </c>
      <c r="C21" s="54">
        <f t="shared" si="5"/>
        <v>145.5537480990601</v>
      </c>
      <c r="D21" s="33">
        <f>C21*VLOOKUP($A$12,Ταρίφες!$A$6:$G$23,$K$6,FALSE)*(1+$F$3)^(B21-1)</f>
        <v>66954.724125567649</v>
      </c>
      <c r="E21" s="33">
        <f>C21*VLOOKUP($A$12,Ταρίφες!$A$6:$G$23,$K$7,FALSE)*(1+$F$3)^(B21-1)</f>
        <v>58221.499239624041</v>
      </c>
      <c r="F21" s="46">
        <f t="shared" si="0"/>
        <v>-2151.1666235201596</v>
      </c>
      <c r="G21" s="47">
        <f t="shared" si="1"/>
        <v>-1195.0925686223109</v>
      </c>
      <c r="H21" s="47">
        <f t="shared" si="2"/>
        <v>-1434.1110823467729</v>
      </c>
      <c r="I21" s="46">
        <f t="shared" si="6"/>
        <v>-5377.9165588003989</v>
      </c>
      <c r="J21" s="47">
        <f t="shared" si="3"/>
        <v>-16880</v>
      </c>
      <c r="K21" s="47">
        <f t="shared" si="7"/>
        <v>-10378.27369599228</v>
      </c>
      <c r="L21" s="47">
        <f t="shared" si="8"/>
        <v>-8107.6352256469436</v>
      </c>
      <c r="M21" s="47">
        <f t="shared" si="9"/>
        <v>46418.163596285725</v>
      </c>
      <c r="N21" s="47">
        <f t="shared" si="10"/>
        <v>39955.577180687455</v>
      </c>
      <c r="O21" s="34"/>
      <c r="P21" s="35"/>
      <c r="Q21" s="35"/>
      <c r="R21" s="33"/>
      <c r="S21" s="43"/>
      <c r="T21" s="19"/>
      <c r="U21" s="27">
        <f t="shared" si="11"/>
        <v>46418.163596285725</v>
      </c>
      <c r="V21" s="28">
        <f t="shared" si="11"/>
        <v>39955.577180687455</v>
      </c>
    </row>
    <row r="22" spans="1:22" hidden="1" outlineLevel="1" x14ac:dyDescent="0.25">
      <c r="A22" s="18"/>
      <c r="B22" s="38">
        <f t="shared" si="4"/>
        <v>11</v>
      </c>
      <c r="C22" s="54">
        <f t="shared" si="5"/>
        <v>144.09821061806949</v>
      </c>
      <c r="D22" s="33">
        <f>C22*VLOOKUP($A$12,Ταρίφες!$A$6:$G$23,$K$6,FALSE)*(1+$F$3)^(B22-1)</f>
        <v>66285.176884311964</v>
      </c>
      <c r="E22" s="33">
        <f>C22*VLOOKUP($A$12,Ταρίφες!$A$6:$G$23,$K$7,FALSE)*(1+$F$3)^(B22-1)</f>
        <v>57639.284247227792</v>
      </c>
      <c r="F22" s="46">
        <f t="shared" si="0"/>
        <v>-2194.1899559905628</v>
      </c>
      <c r="G22" s="47">
        <f t="shared" si="1"/>
        <v>-1218.9944199947572</v>
      </c>
      <c r="H22" s="47">
        <f t="shared" si="2"/>
        <v>-1462.7933039937086</v>
      </c>
      <c r="I22" s="46">
        <f t="shared" si="6"/>
        <v>-5485.4748899764072</v>
      </c>
      <c r="J22" s="47">
        <f t="shared" si="3"/>
        <v>-16880</v>
      </c>
      <c r="K22" s="47">
        <f t="shared" si="7"/>
        <v>-10151.368321732698</v>
      </c>
      <c r="L22" s="47">
        <f t="shared" si="8"/>
        <v>-7903.4362360908126</v>
      </c>
      <c r="M22" s="47">
        <f t="shared" si="9"/>
        <v>45772.35599262383</v>
      </c>
      <c r="N22" s="47">
        <f t="shared" si="10"/>
        <v>39374.395441181543</v>
      </c>
      <c r="O22" s="34"/>
      <c r="P22" s="35"/>
      <c r="Q22" s="35"/>
      <c r="R22" s="33"/>
      <c r="S22" s="43"/>
      <c r="T22" s="19"/>
      <c r="U22" s="27">
        <f t="shared" si="11"/>
        <v>45772.35599262383</v>
      </c>
      <c r="V22" s="28">
        <f t="shared" si="11"/>
        <v>39374.395441181543</v>
      </c>
    </row>
    <row r="23" spans="1:22" hidden="1" outlineLevel="1" x14ac:dyDescent="0.25">
      <c r="A23" s="18"/>
      <c r="B23" s="38">
        <f t="shared" si="4"/>
        <v>12</v>
      </c>
      <c r="C23" s="54">
        <f t="shared" si="5"/>
        <v>142.6572285118888</v>
      </c>
      <c r="D23" s="33">
        <f>C23*VLOOKUP($A$12,Ταρίφες!$A$6:$G$23,$K$6,FALSE)*(1+$F$3)^(B23-1)</f>
        <v>65622.325115468848</v>
      </c>
      <c r="E23" s="33">
        <f>C23*VLOOKUP($A$12,Ταρίφες!$A$6:$G$23,$K$7,FALSE)*(1+$F$3)^(B23-1)</f>
        <v>57062.891404755523</v>
      </c>
      <c r="F23" s="46">
        <f t="shared" si="0"/>
        <v>-2238.0737551103734</v>
      </c>
      <c r="G23" s="47">
        <f t="shared" si="1"/>
        <v>-1243.374308394652</v>
      </c>
      <c r="H23" s="47">
        <f t="shared" si="2"/>
        <v>-1492.0491700735824</v>
      </c>
      <c r="I23" s="46">
        <f t="shared" si="6"/>
        <v>-5595.1843877759338</v>
      </c>
      <c r="J23" s="47">
        <f t="shared" si="3"/>
        <v>-16880</v>
      </c>
      <c r="K23" s="47">
        <f t="shared" si="7"/>
        <v>-9925.1473084697209</v>
      </c>
      <c r="L23" s="47">
        <f t="shared" si="8"/>
        <v>-7699.6945436842552</v>
      </c>
      <c r="M23" s="47">
        <f t="shared" si="9"/>
        <v>45128.496185644588</v>
      </c>
      <c r="N23" s="47">
        <f t="shared" si="10"/>
        <v>38794.515239716718</v>
      </c>
      <c r="O23" s="34"/>
      <c r="P23" s="35"/>
      <c r="Q23" s="35"/>
      <c r="R23" s="33"/>
      <c r="S23" s="43"/>
      <c r="T23" s="19"/>
      <c r="U23" s="27">
        <f t="shared" si="11"/>
        <v>45128.496185644588</v>
      </c>
      <c r="V23" s="28">
        <f t="shared" si="11"/>
        <v>38794.515239716718</v>
      </c>
    </row>
    <row r="24" spans="1:22" hidden="1" outlineLevel="1" x14ac:dyDescent="0.25">
      <c r="A24" s="18"/>
      <c r="B24" s="38">
        <f t="shared" si="4"/>
        <v>13</v>
      </c>
      <c r="C24" s="54">
        <f t="shared" si="5"/>
        <v>141.23065622676992</v>
      </c>
      <c r="D24" s="33">
        <f>C24*VLOOKUP($A$12,Ταρίφες!$A$6:$G$23,$K$6,FALSE)*(1+$F$3)^(B24-1)</f>
        <v>64966.101864314165</v>
      </c>
      <c r="E24" s="33">
        <f>C24*VLOOKUP($A$12,Ταρίφες!$A$6:$G$23,$K$7,FALSE)*(1+$F$3)^(B24-1)</f>
        <v>56492.262490707966</v>
      </c>
      <c r="F24" s="46">
        <f t="shared" si="0"/>
        <v>-2282.8352302125813</v>
      </c>
      <c r="G24" s="47">
        <f t="shared" si="1"/>
        <v>-1268.2417945625452</v>
      </c>
      <c r="H24" s="47">
        <f t="shared" si="2"/>
        <v>-1521.8901534750544</v>
      </c>
      <c r="I24" s="46">
        <f t="shared" si="6"/>
        <v>-5707.0880755314538</v>
      </c>
      <c r="J24" s="47">
        <f t="shared" si="3"/>
        <v>-16880</v>
      </c>
      <c r="K24" s="47">
        <f t="shared" si="7"/>
        <v>-9699.5721187384588</v>
      </c>
      <c r="L24" s="47">
        <f t="shared" si="8"/>
        <v>-7496.3738816008472</v>
      </c>
      <c r="M24" s="47">
        <f t="shared" si="9"/>
        <v>44486.47449179407</v>
      </c>
      <c r="N24" s="47">
        <f t="shared" si="10"/>
        <v>38215.833355325485</v>
      </c>
      <c r="O24" s="34"/>
      <c r="P24" s="35"/>
      <c r="Q24" s="35"/>
      <c r="R24" s="33"/>
      <c r="S24" s="43"/>
      <c r="T24" s="19"/>
      <c r="U24" s="27">
        <f t="shared" si="11"/>
        <v>44486.47449179407</v>
      </c>
      <c r="V24" s="28">
        <f t="shared" si="11"/>
        <v>38215.833355325485</v>
      </c>
    </row>
    <row r="25" spans="1:22" hidden="1" outlineLevel="1" x14ac:dyDescent="0.25">
      <c r="A25" s="18"/>
      <c r="B25" s="38">
        <f t="shared" si="4"/>
        <v>14</v>
      </c>
      <c r="C25" s="54">
        <f t="shared" si="5"/>
        <v>139.81834966450222</v>
      </c>
      <c r="D25" s="33">
        <f>C25*VLOOKUP($A$12,Ταρίφες!$A$6:$G$23,$K$6,FALSE)*(1+$F$3)^(B25-1)</f>
        <v>64316.440845671023</v>
      </c>
      <c r="E25" s="33">
        <f>C25*VLOOKUP($A$12,Ταρίφες!$A$6:$G$23,$K$7,FALSE)*(1+$F$3)^(B25-1)</f>
        <v>55927.339865800888</v>
      </c>
      <c r="F25" s="46">
        <f t="shared" si="0"/>
        <v>-2328.4919348168328</v>
      </c>
      <c r="G25" s="47">
        <f t="shared" si="1"/>
        <v>-1293.606630453796</v>
      </c>
      <c r="H25" s="47">
        <f t="shared" si="2"/>
        <v>-1552.3279565445553</v>
      </c>
      <c r="I25" s="46">
        <f t="shared" si="6"/>
        <v>-5821.2298370420822</v>
      </c>
      <c r="J25" s="47">
        <f t="shared" si="3"/>
        <v>-16880</v>
      </c>
      <c r="K25" s="47">
        <f t="shared" si="7"/>
        <v>-9474.6039665715762</v>
      </c>
      <c r="L25" s="47">
        <f t="shared" si="8"/>
        <v>-7293.4377118053417</v>
      </c>
      <c r="M25" s="47">
        <f t="shared" si="9"/>
        <v>43846.180520242182</v>
      </c>
      <c r="N25" s="47">
        <f t="shared" si="10"/>
        <v>37638.245795138282</v>
      </c>
      <c r="O25" s="34"/>
      <c r="P25" s="35"/>
      <c r="Q25" s="35"/>
      <c r="R25" s="33"/>
      <c r="S25" s="43"/>
      <c r="T25" s="19"/>
      <c r="U25" s="27">
        <f t="shared" si="11"/>
        <v>43846.180520242182</v>
      </c>
      <c r="V25" s="28">
        <f t="shared" si="11"/>
        <v>37638.245795138282</v>
      </c>
    </row>
    <row r="26" spans="1:22" hidden="1" outlineLevel="1" x14ac:dyDescent="0.25">
      <c r="A26" s="18"/>
      <c r="B26" s="38">
        <f t="shared" si="4"/>
        <v>15</v>
      </c>
      <c r="C26" s="54">
        <f t="shared" si="5"/>
        <v>138.42016616785719</v>
      </c>
      <c r="D26" s="33">
        <f>C26*VLOOKUP($A$12,Ταρίφες!$A$6:$G$23,$K$6,FALSE)*(1+$F$3)^(B26-1)</f>
        <v>63673.276437214306</v>
      </c>
      <c r="E26" s="33">
        <f>C26*VLOOKUP($A$12,Ταρίφες!$A$6:$G$23,$K$7,FALSE)*(1+$F$3)^(B26-1)</f>
        <v>55368.066467142875</v>
      </c>
      <c r="F26" s="46">
        <f t="shared" si="0"/>
        <v>-2375.06177351317</v>
      </c>
      <c r="G26" s="47">
        <f t="shared" si="1"/>
        <v>-1319.4787630628721</v>
      </c>
      <c r="H26" s="47">
        <f t="shared" si="2"/>
        <v>-1583.3745156754467</v>
      </c>
      <c r="I26" s="46">
        <f t="shared" si="6"/>
        <v>-5937.6544337829246</v>
      </c>
      <c r="J26" s="47">
        <f t="shared" si="3"/>
        <v>-16880</v>
      </c>
      <c r="K26" s="47">
        <f t="shared" si="7"/>
        <v>-9250.2038073067724</v>
      </c>
      <c r="L26" s="47">
        <f t="shared" si="8"/>
        <v>-7090.8492150882003</v>
      </c>
      <c r="M26" s="47">
        <f t="shared" si="9"/>
        <v>43207.503143873117</v>
      </c>
      <c r="N26" s="47">
        <f t="shared" si="10"/>
        <v>37061.647766020258</v>
      </c>
      <c r="O26" s="34"/>
      <c r="P26" s="35"/>
      <c r="Q26" s="35"/>
      <c r="R26" s="33"/>
      <c r="S26" s="43"/>
      <c r="T26" s="19"/>
      <c r="U26" s="27">
        <f t="shared" si="11"/>
        <v>43207.503143873117</v>
      </c>
      <c r="V26" s="28">
        <f t="shared" si="11"/>
        <v>37061.647766020258</v>
      </c>
    </row>
    <row r="27" spans="1:22" hidden="1" outlineLevel="1" x14ac:dyDescent="0.25">
      <c r="A27" s="18"/>
      <c r="B27" s="38">
        <f t="shared" si="4"/>
        <v>16</v>
      </c>
      <c r="C27" s="54">
        <f t="shared" si="5"/>
        <v>137.03596450617863</v>
      </c>
      <c r="D27" s="33">
        <f>C27*VLOOKUP($A$12,Ταρίφες!$A$6:$G$23,$K$6,FALSE)*(1+$F$3)^(B27-1)</f>
        <v>63036.54367284217</v>
      </c>
      <c r="E27" s="33">
        <f>C27*VLOOKUP($A$12,Ταρίφες!$A$6:$G$23,$K$7,FALSE)*(1+$F$3)^(B27-1)</f>
        <v>54814.38580247145</v>
      </c>
      <c r="F27" s="46">
        <f t="shared" si="0"/>
        <v>-2422.5630089834326</v>
      </c>
      <c r="G27" s="47">
        <f t="shared" si="1"/>
        <v>-1345.8683383241291</v>
      </c>
      <c r="H27" s="47">
        <f t="shared" si="2"/>
        <v>-1615.042005988955</v>
      </c>
      <c r="I27" s="46">
        <f t="shared" si="6"/>
        <v>-6056.4075224585813</v>
      </c>
      <c r="J27" s="47">
        <f t="shared" si="3"/>
        <v>-16880</v>
      </c>
      <c r="K27" s="47">
        <f t="shared" si="7"/>
        <v>-9026.3323272426405</v>
      </c>
      <c r="L27" s="47">
        <f t="shared" si="8"/>
        <v>-6888.571280946252</v>
      </c>
      <c r="M27" s="47">
        <f t="shared" si="9"/>
        <v>42570.330469844434</v>
      </c>
      <c r="N27" s="47">
        <f t="shared" si="10"/>
        <v>36485.933645770107</v>
      </c>
      <c r="O27" s="34"/>
      <c r="P27" s="35"/>
      <c r="Q27" s="35"/>
      <c r="R27" s="33"/>
      <c r="S27" s="43"/>
      <c r="T27" s="19"/>
      <c r="U27" s="27">
        <f t="shared" si="11"/>
        <v>42570.330469844434</v>
      </c>
      <c r="V27" s="28">
        <f t="shared" si="11"/>
        <v>36485.933645770107</v>
      </c>
    </row>
    <row r="28" spans="1:22" hidden="1" outlineLevel="1" x14ac:dyDescent="0.25">
      <c r="A28" s="18"/>
      <c r="B28" s="38">
        <f t="shared" si="4"/>
        <v>17</v>
      </c>
      <c r="C28" s="54">
        <f t="shared" si="5"/>
        <v>135.66560486111683</v>
      </c>
      <c r="D28" s="33">
        <f>C28*VLOOKUP($A$12,Ταρίφες!$A$6:$G$23,$K$6,FALSE)*(1+$F$3)^(B28-1)</f>
        <v>62406.178236113745</v>
      </c>
      <c r="E28" s="33">
        <f>C28*VLOOKUP($A$12,Ταρίφες!$A$6:$G$23,$K$7,FALSE)*(1+$F$3)^(B28-1)</f>
        <v>54266.24194444673</v>
      </c>
      <c r="F28" s="46">
        <f t="shared" si="0"/>
        <v>-2471.0142691631017</v>
      </c>
      <c r="G28" s="47">
        <f t="shared" si="1"/>
        <v>-1372.7857050906121</v>
      </c>
      <c r="H28" s="47">
        <f t="shared" si="2"/>
        <v>-1647.3428461087344</v>
      </c>
      <c r="I28" s="46">
        <f t="shared" si="6"/>
        <v>-6177.5356729077539</v>
      </c>
      <c r="J28" s="47">
        <f t="shared" si="3"/>
        <v>-16880</v>
      </c>
      <c r="K28" s="47">
        <f t="shared" si="7"/>
        <v>-8802.9499331393217</v>
      </c>
      <c r="L28" s="47">
        <f t="shared" si="8"/>
        <v>-6686.5664973058974</v>
      </c>
      <c r="M28" s="47">
        <f t="shared" si="9"/>
        <v>41934.549809704222</v>
      </c>
      <c r="N28" s="47">
        <f t="shared" si="10"/>
        <v>35910.996953870628</v>
      </c>
      <c r="O28" s="34"/>
      <c r="P28" s="35"/>
      <c r="Q28" s="35"/>
      <c r="R28" s="33"/>
      <c r="S28" s="43"/>
      <c r="T28" s="19"/>
      <c r="U28" s="27">
        <f t="shared" si="11"/>
        <v>41934.549809704222</v>
      </c>
      <c r="V28" s="28">
        <f t="shared" si="11"/>
        <v>35910.996953870628</v>
      </c>
    </row>
    <row r="29" spans="1:22" hidden="1" outlineLevel="1" x14ac:dyDescent="0.25">
      <c r="A29" s="18"/>
      <c r="B29" s="38">
        <f t="shared" si="4"/>
        <v>18</v>
      </c>
      <c r="C29" s="54">
        <f t="shared" si="5"/>
        <v>134.30894881250566</v>
      </c>
      <c r="D29" s="33">
        <f>C29*VLOOKUP($A$12,Ταρίφες!$A$6:$G$23,$K$6,FALSE)*(1+$F$3)^(B29-1)</f>
        <v>61782.116453752606</v>
      </c>
      <c r="E29" s="33">
        <f>C29*VLOOKUP($A$12,Ταρίφες!$A$6:$G$23,$K$7,FALSE)*(1+$F$3)^(B29-1)</f>
        <v>53723.579525002264</v>
      </c>
      <c r="F29" s="46">
        <f t="shared" si="0"/>
        <v>-2520.4345545463639</v>
      </c>
      <c r="G29" s="47">
        <f t="shared" si="1"/>
        <v>-1400.2414191924245</v>
      </c>
      <c r="H29" s="47">
        <f t="shared" si="2"/>
        <v>-1680.2897030309093</v>
      </c>
      <c r="I29" s="46">
        <f t="shared" si="6"/>
        <v>-6301.0863863659097</v>
      </c>
      <c r="J29" s="47">
        <f t="shared" si="3"/>
        <v>-16880</v>
      </c>
      <c r="K29" s="47">
        <f t="shared" si="7"/>
        <v>-8580.016741560421</v>
      </c>
      <c r="L29" s="47">
        <f t="shared" si="8"/>
        <v>-6484.7971400853303</v>
      </c>
      <c r="M29" s="47">
        <f t="shared" si="9"/>
        <v>41300.047649056578</v>
      </c>
      <c r="N29" s="47">
        <f t="shared" si="10"/>
        <v>35336.730321781331</v>
      </c>
      <c r="O29" s="34"/>
      <c r="P29" s="35"/>
      <c r="Q29" s="35"/>
      <c r="R29" s="33"/>
      <c r="S29" s="43"/>
      <c r="T29" s="19"/>
      <c r="U29" s="27">
        <f t="shared" si="11"/>
        <v>41300.047649056578</v>
      </c>
      <c r="V29" s="28">
        <f t="shared" si="11"/>
        <v>35336.730321781331</v>
      </c>
    </row>
    <row r="30" spans="1:22" hidden="1" outlineLevel="1" x14ac:dyDescent="0.25">
      <c r="A30" s="18"/>
      <c r="B30" s="38">
        <f t="shared" si="4"/>
        <v>19</v>
      </c>
      <c r="C30" s="54">
        <f t="shared" si="5"/>
        <v>132.9658593243806</v>
      </c>
      <c r="D30" s="33">
        <f>C30*VLOOKUP($A$12,Ταρίφες!$A$6:$G$23,$K$6,FALSE)*(1+$F$3)^(B30-1)</f>
        <v>61164.295289215079</v>
      </c>
      <c r="E30" s="33">
        <f>C30*VLOOKUP($A$12,Ταρίφες!$A$6:$G$23,$K$7,FALSE)*(1+$F$3)^(B30-1)</f>
        <v>53186.34372975224</v>
      </c>
      <c r="F30" s="46">
        <f t="shared" si="0"/>
        <v>-2570.8432456372907</v>
      </c>
      <c r="G30" s="47">
        <f t="shared" si="1"/>
        <v>-1428.2462475762727</v>
      </c>
      <c r="H30" s="47">
        <f t="shared" si="2"/>
        <v>-1713.8954970915272</v>
      </c>
      <c r="I30" s="46">
        <f t="shared" si="6"/>
        <v>-6427.1081140932274</v>
      </c>
      <c r="J30" s="47">
        <f t="shared" si="3"/>
        <v>-16880</v>
      </c>
      <c r="K30" s="47">
        <f t="shared" si="7"/>
        <v>-8357.4925680523575</v>
      </c>
      <c r="L30" s="47">
        <f t="shared" si="8"/>
        <v>-6283.2251625920198</v>
      </c>
      <c r="M30" s="47">
        <f t="shared" si="9"/>
        <v>40666.709616764405</v>
      </c>
      <c r="N30" s="47">
        <f t="shared" si="10"/>
        <v>34763.0254627619</v>
      </c>
      <c r="O30" s="34"/>
      <c r="P30" s="35"/>
      <c r="Q30" s="35"/>
      <c r="R30" s="33"/>
      <c r="S30" s="43"/>
      <c r="T30" s="19"/>
      <c r="U30" s="27">
        <f t="shared" si="11"/>
        <v>40666.709616764405</v>
      </c>
      <c r="V30" s="28">
        <f t="shared" si="11"/>
        <v>34763.0254627619</v>
      </c>
    </row>
    <row r="31" spans="1:22" hidden="1" outlineLevel="1" x14ac:dyDescent="0.25">
      <c r="A31" s="18"/>
      <c r="B31" s="38">
        <f>B30+1</f>
        <v>20</v>
      </c>
      <c r="C31" s="54">
        <f t="shared" si="5"/>
        <v>131.6362007311368</v>
      </c>
      <c r="D31" s="33">
        <f>C31*VLOOKUP($A$12,Ταρίφες!$A$6:$G$23,$K$6,FALSE)*(1+$F$3)^(B31-1)</f>
        <v>60552.652336322928</v>
      </c>
      <c r="E31" s="33">
        <f>C31*VLOOKUP($A$12,Ταρίφες!$A$6:$G$23,$K$7,FALSE)*(1+$F$3)^(B31-1)</f>
        <v>52654.480292454718</v>
      </c>
      <c r="F31" s="46">
        <f t="shared" si="0"/>
        <v>-2622.2601105500366</v>
      </c>
      <c r="G31" s="47">
        <f t="shared" si="1"/>
        <v>-1456.8111725277981</v>
      </c>
      <c r="H31" s="47">
        <f t="shared" si="2"/>
        <v>-1748.1734070333578</v>
      </c>
      <c r="I31" s="46">
        <f t="shared" si="6"/>
        <v>-6555.6502763750914</v>
      </c>
      <c r="J31" s="47">
        <f t="shared" si="3"/>
        <v>-16880</v>
      </c>
      <c r="K31" s="47">
        <f t="shared" si="7"/>
        <v>-8135.3369161575274</v>
      </c>
      <c r="L31" s="47">
        <f t="shared" si="8"/>
        <v>-6081.8121847517932</v>
      </c>
      <c r="M31" s="47">
        <f t="shared" si="9"/>
        <v>40034.420453679122</v>
      </c>
      <c r="N31" s="47">
        <f t="shared" si="10"/>
        <v>34189.773141216647</v>
      </c>
      <c r="O31" s="34"/>
      <c r="P31" s="35"/>
      <c r="Q31" s="35"/>
      <c r="R31" s="33"/>
      <c r="S31" s="43"/>
      <c r="T31" s="19"/>
      <c r="U31" s="27">
        <f>M31</f>
        <v>40034.420453679122</v>
      </c>
      <c r="V31" s="28">
        <f t="shared" ref="V31" si="12">N31</f>
        <v>34189.773141216647</v>
      </c>
    </row>
    <row r="32" spans="1:22" s="40" customFormat="1" hidden="1" outlineLevel="1" x14ac:dyDescent="0.25">
      <c r="A32" s="39"/>
      <c r="C32" s="55"/>
      <c r="F32" s="48"/>
      <c r="G32" s="48"/>
      <c r="H32" s="48"/>
      <c r="I32" s="48"/>
      <c r="J32" s="48"/>
      <c r="K32" s="48"/>
      <c r="L32" s="48"/>
      <c r="M32" s="48"/>
      <c r="N32" s="48"/>
      <c r="S32" s="44"/>
      <c r="T32" s="44"/>
      <c r="U32" s="26">
        <f>O33</f>
        <v>-392000</v>
      </c>
      <c r="V32" s="26">
        <f>R33</f>
        <v>-310250</v>
      </c>
    </row>
    <row r="33" spans="1:22" collapsed="1" x14ac:dyDescent="0.25">
      <c r="A33" s="32" t="str">
        <f>Ταρίφες!A11</f>
        <v>Β Τριμ. 2010</v>
      </c>
      <c r="B33" s="38">
        <f>1</f>
        <v>1</v>
      </c>
      <c r="C33" s="54">
        <f>$F$8*$K$2/1000</f>
        <v>159.33333333333331</v>
      </c>
      <c r="D33" s="33">
        <f>C33*VLOOKUP($A$33,Ταρίφες!$A$6:$G$23,$K$6,FALSE)*(1+$F$3)^(B33-1)</f>
        <v>73293.333333333328</v>
      </c>
      <c r="E33" s="33">
        <f>C33*VLOOKUP($A$33,Ταρίφες!$A$6:$G$23,$K$7,FALSE)*(1+$F$3)^(B33-1)</f>
        <v>60546.666666666657</v>
      </c>
      <c r="F33" s="46">
        <f t="shared" ref="F33:F52" si="13">-($K$5*(1+$F$4)^(B33-$B$12))</f>
        <v>-1800</v>
      </c>
      <c r="G33" s="47">
        <f t="shared" ref="G33:G52" si="14">-$K$2*10*(1+$F$4)^(B33-$B$12)</f>
        <v>-1000</v>
      </c>
      <c r="H33" s="47">
        <f t="shared" ref="H33:H52" si="15">-$K$4*(1+$F$4)^(B33-$B$12)</f>
        <v>-1200</v>
      </c>
      <c r="I33" s="46">
        <f t="shared" ref="I33:I52" si="16">-(4500*(1+$F$4)^(B33-$B$12))</f>
        <v>-4500</v>
      </c>
      <c r="J33" s="47">
        <f>$O$33*4%</f>
        <v>-15680</v>
      </c>
      <c r="K33" s="47">
        <f>-(D33+SUM(F33:J33))*$F$5</f>
        <v>-12769.466666666665</v>
      </c>
      <c r="L33" s="47">
        <f>-(E33+SUM(F33:J33))*$F$5</f>
        <v>-9455.3333333333303</v>
      </c>
      <c r="M33" s="47">
        <f>D33+SUM(F33:I33)+K33</f>
        <v>52023.866666666661</v>
      </c>
      <c r="N33" s="47">
        <f>E33+SUM(F33:I33)+L33</f>
        <v>42591.333333333328</v>
      </c>
      <c r="O33" s="35">
        <f>-VLOOKUP(A33,'Κόστος Κατασκευής'!$A$4:$Q$17,$K$8,FALSE)</f>
        <v>-392000</v>
      </c>
      <c r="P33" s="36">
        <f>$K$3</f>
        <v>120000</v>
      </c>
      <c r="Q33" s="36">
        <f>Q12*15/16</f>
        <v>-38250</v>
      </c>
      <c r="R33" s="37">
        <f>SUM(O33:Q33)</f>
        <v>-310250</v>
      </c>
      <c r="S33" s="42">
        <f>IRR(U32:U52)</f>
        <v>0.10570060488613087</v>
      </c>
      <c r="T33" s="42">
        <f>IRR(V32:V52)</f>
        <v>0.11036465607270141</v>
      </c>
      <c r="U33" s="27">
        <f>M33</f>
        <v>52023.866666666661</v>
      </c>
      <c r="V33" s="28">
        <f>N33</f>
        <v>42591.333333333328</v>
      </c>
    </row>
    <row r="34" spans="1:22" hidden="1" outlineLevel="1" x14ac:dyDescent="0.25">
      <c r="A34" s="18"/>
      <c r="B34" s="38">
        <f>B33+1</f>
        <v>2</v>
      </c>
      <c r="C34" s="54">
        <f t="shared" ref="C34:C52" si="17">C33*(1-$F$2)</f>
        <v>157.73999999999998</v>
      </c>
      <c r="D34" s="33">
        <f>C34*VLOOKUP($A$33,Ταρίφες!$A$6:$G$23,$K$6,FALSE)*(1+$F$3)^(B34-1)</f>
        <v>72560.399999999994</v>
      </c>
      <c r="E34" s="33">
        <f>C34*VLOOKUP($A$33,Ταρίφες!$A$6:$G$23,$K$7,FALSE)*(1+$F$3)^(B34-1)</f>
        <v>59941.19999999999</v>
      </c>
      <c r="F34" s="46">
        <f t="shared" si="13"/>
        <v>-1836</v>
      </c>
      <c r="G34" s="47">
        <f t="shared" si="14"/>
        <v>-1020</v>
      </c>
      <c r="H34" s="47">
        <f t="shared" si="15"/>
        <v>-1224</v>
      </c>
      <c r="I34" s="46">
        <f t="shared" si="16"/>
        <v>-4590</v>
      </c>
      <c r="J34" s="47">
        <f t="shared" ref="J34:J52" si="18">$O$33*4%</f>
        <v>-15680</v>
      </c>
      <c r="K34" s="47">
        <f t="shared" ref="K34:K52" si="19">-(D34+SUM(F34:J34))*$F$5</f>
        <v>-12534.704</v>
      </c>
      <c r="L34" s="47">
        <f t="shared" ref="L34:L52" si="20">-(E34+SUM(F34:J34))*$F$5</f>
        <v>-9253.7119999999977</v>
      </c>
      <c r="M34" s="47">
        <f t="shared" ref="M34:M52" si="21">D34+SUM(F34:I34)+K34</f>
        <v>51355.695999999996</v>
      </c>
      <c r="N34" s="47">
        <f t="shared" ref="N34:N52" si="22">E34+SUM(F34:I34)+L34</f>
        <v>42017.48799999999</v>
      </c>
      <c r="O34" s="34"/>
      <c r="P34" s="35"/>
      <c r="Q34" s="35"/>
      <c r="R34" s="33"/>
      <c r="S34" s="43"/>
      <c r="T34" s="19"/>
      <c r="U34" s="27">
        <f t="shared" ref="U34:V51" si="23">M34</f>
        <v>51355.695999999996</v>
      </c>
      <c r="V34" s="28">
        <f t="shared" si="23"/>
        <v>42017.48799999999</v>
      </c>
    </row>
    <row r="35" spans="1:22" hidden="1" outlineLevel="1" x14ac:dyDescent="0.25">
      <c r="A35" s="18"/>
      <c r="B35" s="38">
        <f t="shared" si="4"/>
        <v>3</v>
      </c>
      <c r="C35" s="54">
        <f t="shared" si="17"/>
        <v>156.16259999999997</v>
      </c>
      <c r="D35" s="33">
        <f>C35*VLOOKUP($A$33,Ταρίφες!$A$6:$G$23,$K$6,FALSE)*(1+$F$3)^(B35-1)</f>
        <v>71834.795999999988</v>
      </c>
      <c r="E35" s="33">
        <f>C35*VLOOKUP($A$33,Ταρίφες!$A$6:$G$23,$K$7,FALSE)*(1+$F$3)^(B35-1)</f>
        <v>59341.787999999986</v>
      </c>
      <c r="F35" s="46">
        <f t="shared" si="13"/>
        <v>-1872.72</v>
      </c>
      <c r="G35" s="47">
        <f t="shared" si="14"/>
        <v>-1040.4000000000001</v>
      </c>
      <c r="H35" s="47">
        <f t="shared" si="15"/>
        <v>-1248.48</v>
      </c>
      <c r="I35" s="46">
        <f t="shared" si="16"/>
        <v>-4681.8</v>
      </c>
      <c r="J35" s="47">
        <f t="shared" si="18"/>
        <v>-15680</v>
      </c>
      <c r="K35" s="47">
        <f t="shared" si="19"/>
        <v>-12300.962959999997</v>
      </c>
      <c r="L35" s="47">
        <f t="shared" si="20"/>
        <v>-9052.7808799999966</v>
      </c>
      <c r="M35" s="47">
        <f t="shared" si="21"/>
        <v>50690.433039999989</v>
      </c>
      <c r="N35" s="47">
        <f t="shared" si="22"/>
        <v>41445.607119999986</v>
      </c>
      <c r="O35" s="34"/>
      <c r="P35" s="35"/>
      <c r="Q35" s="35"/>
      <c r="R35" s="33"/>
      <c r="S35" s="43"/>
      <c r="T35" s="19"/>
      <c r="U35" s="27">
        <f t="shared" si="23"/>
        <v>50690.433039999989</v>
      </c>
      <c r="V35" s="28">
        <f t="shared" si="23"/>
        <v>41445.607119999986</v>
      </c>
    </row>
    <row r="36" spans="1:22" hidden="1" outlineLevel="1" x14ac:dyDescent="0.25">
      <c r="A36" s="18"/>
      <c r="B36" s="38">
        <f t="shared" si="4"/>
        <v>4</v>
      </c>
      <c r="C36" s="54">
        <f t="shared" si="17"/>
        <v>154.60097399999998</v>
      </c>
      <c r="D36" s="33">
        <f>C36*VLOOKUP($A$33,Ταρίφες!$A$6:$G$23,$K$6,FALSE)*(1+$F$3)^(B36-1)</f>
        <v>71116.448039999988</v>
      </c>
      <c r="E36" s="33">
        <f>C36*VLOOKUP($A$33,Ταρίφες!$A$6:$G$23,$K$7,FALSE)*(1+$F$3)^(B36-1)</f>
        <v>58748.370119999992</v>
      </c>
      <c r="F36" s="46">
        <f t="shared" si="13"/>
        <v>-1910.1743999999999</v>
      </c>
      <c r="G36" s="47">
        <f t="shared" si="14"/>
        <v>-1061.2079999999999</v>
      </c>
      <c r="H36" s="47">
        <f t="shared" si="15"/>
        <v>-1273.4495999999999</v>
      </c>
      <c r="I36" s="46">
        <f t="shared" si="16"/>
        <v>-4775.4359999999997</v>
      </c>
      <c r="J36" s="47">
        <f t="shared" si="18"/>
        <v>-15680</v>
      </c>
      <c r="K36" s="47">
        <f t="shared" si="19"/>
        <v>-12068.206810399999</v>
      </c>
      <c r="L36" s="47">
        <f t="shared" si="20"/>
        <v>-8852.5065512000001</v>
      </c>
      <c r="M36" s="47">
        <f t="shared" si="21"/>
        <v>50027.973229599993</v>
      </c>
      <c r="N36" s="47">
        <f t="shared" si="22"/>
        <v>40875.595568799996</v>
      </c>
      <c r="O36" s="34"/>
      <c r="P36" s="35"/>
      <c r="Q36" s="35"/>
      <c r="R36" s="33"/>
      <c r="S36" s="43"/>
      <c r="T36" s="19"/>
      <c r="U36" s="27">
        <f t="shared" si="23"/>
        <v>50027.973229599993</v>
      </c>
      <c r="V36" s="28">
        <f t="shared" si="23"/>
        <v>40875.595568799996</v>
      </c>
    </row>
    <row r="37" spans="1:22" hidden="1" outlineLevel="1" x14ac:dyDescent="0.25">
      <c r="A37" s="18"/>
      <c r="B37" s="38">
        <f t="shared" si="4"/>
        <v>5</v>
      </c>
      <c r="C37" s="54">
        <f t="shared" si="17"/>
        <v>153.05496425999999</v>
      </c>
      <c r="D37" s="33">
        <f>C37*VLOOKUP($A$33,Ταρίφες!$A$6:$G$23,$K$6,FALSE)*(1+$F$3)^(B37-1)</f>
        <v>70405.283559599993</v>
      </c>
      <c r="E37" s="33">
        <f>C37*VLOOKUP($A$33,Ταρίφες!$A$6:$G$23,$K$7,FALSE)*(1+$F$3)^(B37-1)</f>
        <v>58160.886418799993</v>
      </c>
      <c r="F37" s="46">
        <f t="shared" si="13"/>
        <v>-1948.377888</v>
      </c>
      <c r="G37" s="47">
        <f t="shared" si="14"/>
        <v>-1082.4321600000001</v>
      </c>
      <c r="H37" s="47">
        <f t="shared" si="15"/>
        <v>-1298.918592</v>
      </c>
      <c r="I37" s="46">
        <f t="shared" si="16"/>
        <v>-4870.9447199999995</v>
      </c>
      <c r="J37" s="47">
        <f t="shared" si="18"/>
        <v>-15680</v>
      </c>
      <c r="K37" s="47">
        <f t="shared" si="19"/>
        <v>-11836.398651895999</v>
      </c>
      <c r="L37" s="47">
        <f t="shared" si="20"/>
        <v>-8652.8553952879993</v>
      </c>
      <c r="M37" s="47">
        <f t="shared" si="21"/>
        <v>49368.211547703992</v>
      </c>
      <c r="N37" s="47">
        <f t="shared" si="22"/>
        <v>40307.357663511997</v>
      </c>
      <c r="O37" s="34"/>
      <c r="P37" s="35"/>
      <c r="Q37" s="35"/>
      <c r="R37" s="33"/>
      <c r="S37" s="43"/>
      <c r="T37" s="19"/>
      <c r="U37" s="27">
        <f t="shared" si="23"/>
        <v>49368.211547703992</v>
      </c>
      <c r="V37" s="28">
        <f t="shared" si="23"/>
        <v>40307.357663511997</v>
      </c>
    </row>
    <row r="38" spans="1:22" hidden="1" outlineLevel="1" x14ac:dyDescent="0.25">
      <c r="A38" s="18"/>
      <c r="B38" s="38">
        <f t="shared" si="4"/>
        <v>6</v>
      </c>
      <c r="C38" s="54">
        <f t="shared" si="17"/>
        <v>151.5244146174</v>
      </c>
      <c r="D38" s="33">
        <f>C38*VLOOKUP($A$33,Ταρίφες!$A$6:$G$23,$K$6,FALSE)*(1+$F$3)^(B38-1)</f>
        <v>69701.230724003995</v>
      </c>
      <c r="E38" s="33">
        <f>C38*VLOOKUP($A$33,Ταρίφες!$A$6:$G$23,$K$7,FALSE)*(1+$F$3)^(B38-1)</f>
        <v>57579.277554611996</v>
      </c>
      <c r="F38" s="46">
        <f t="shared" si="13"/>
        <v>-1987.3454457600001</v>
      </c>
      <c r="G38" s="47">
        <f t="shared" si="14"/>
        <v>-1104.0808032</v>
      </c>
      <c r="H38" s="47">
        <f t="shared" si="15"/>
        <v>-1324.8969638400001</v>
      </c>
      <c r="I38" s="46">
        <f t="shared" si="16"/>
        <v>-4968.3636144000002</v>
      </c>
      <c r="J38" s="47">
        <f t="shared" si="18"/>
        <v>-15680</v>
      </c>
      <c r="K38" s="47">
        <f t="shared" si="19"/>
        <v>-11605.501413169039</v>
      </c>
      <c r="L38" s="47">
        <f t="shared" si="20"/>
        <v>-8453.793589127119</v>
      </c>
      <c r="M38" s="47">
        <f t="shared" si="21"/>
        <v>48711.042483634956</v>
      </c>
      <c r="N38" s="47">
        <f t="shared" si="22"/>
        <v>39740.797138284877</v>
      </c>
      <c r="O38" s="34"/>
      <c r="P38" s="35"/>
      <c r="Q38" s="35"/>
      <c r="R38" s="33"/>
      <c r="S38" s="43"/>
      <c r="T38" s="19"/>
      <c r="U38" s="27">
        <f t="shared" si="23"/>
        <v>48711.042483634956</v>
      </c>
      <c r="V38" s="28">
        <f t="shared" si="23"/>
        <v>39740.797138284877</v>
      </c>
    </row>
    <row r="39" spans="1:22" hidden="1" outlineLevel="1" x14ac:dyDescent="0.25">
      <c r="A39" s="18"/>
      <c r="B39" s="38">
        <f t="shared" si="4"/>
        <v>7</v>
      </c>
      <c r="C39" s="54">
        <f t="shared" si="17"/>
        <v>150.00917047122599</v>
      </c>
      <c r="D39" s="33">
        <f>C39*VLOOKUP($A$33,Ταρίφες!$A$6:$G$23,$K$6,FALSE)*(1+$F$3)^(B39-1)</f>
        <v>69004.21841676395</v>
      </c>
      <c r="E39" s="33">
        <f>C39*VLOOKUP($A$33,Ταρίφες!$A$6:$G$23,$K$7,FALSE)*(1+$F$3)^(B39-1)</f>
        <v>57003.484779065875</v>
      </c>
      <c r="F39" s="46">
        <f t="shared" si="13"/>
        <v>-2027.0923546752001</v>
      </c>
      <c r="G39" s="47">
        <f t="shared" si="14"/>
        <v>-1126.1624192640002</v>
      </c>
      <c r="H39" s="47">
        <f t="shared" si="15"/>
        <v>-1351.3949031168002</v>
      </c>
      <c r="I39" s="46">
        <f t="shared" si="16"/>
        <v>-5067.7308866880003</v>
      </c>
      <c r="J39" s="47">
        <f t="shared" si="18"/>
        <v>-15680</v>
      </c>
      <c r="K39" s="47">
        <f t="shared" si="19"/>
        <v>-11375.477841785187</v>
      </c>
      <c r="L39" s="47">
        <f t="shared" si="20"/>
        <v>-8255.2870959836873</v>
      </c>
      <c r="M39" s="47">
        <f t="shared" si="21"/>
        <v>48056.360011234763</v>
      </c>
      <c r="N39" s="47">
        <f t="shared" si="22"/>
        <v>39175.817119338186</v>
      </c>
      <c r="O39" s="34"/>
      <c r="P39" s="35"/>
      <c r="Q39" s="35"/>
      <c r="R39" s="33"/>
      <c r="S39" s="43"/>
      <c r="T39" s="19"/>
      <c r="U39" s="27">
        <f t="shared" si="23"/>
        <v>48056.360011234763</v>
      </c>
      <c r="V39" s="28">
        <f t="shared" si="23"/>
        <v>39175.817119338186</v>
      </c>
    </row>
    <row r="40" spans="1:22" hidden="1" outlineLevel="1" x14ac:dyDescent="0.25">
      <c r="A40" s="18"/>
      <c r="B40" s="38">
        <f t="shared" si="4"/>
        <v>8</v>
      </c>
      <c r="C40" s="54">
        <f t="shared" si="17"/>
        <v>148.50907876651374</v>
      </c>
      <c r="D40" s="33">
        <f>C40*VLOOKUP($A$33,Ταρίφες!$A$6:$G$23,$K$6,FALSE)*(1+$F$3)^(B40-1)</f>
        <v>68314.176232596321</v>
      </c>
      <c r="E40" s="33">
        <f>C40*VLOOKUP($A$33,Ταρίφες!$A$6:$G$23,$K$7,FALSE)*(1+$F$3)^(B40-1)</f>
        <v>56433.449931275223</v>
      </c>
      <c r="F40" s="46">
        <f t="shared" si="13"/>
        <v>-2067.6342017687039</v>
      </c>
      <c r="G40" s="47">
        <f t="shared" si="14"/>
        <v>-1148.6856676492798</v>
      </c>
      <c r="H40" s="47">
        <f t="shared" si="15"/>
        <v>-1378.4228011791358</v>
      </c>
      <c r="I40" s="46">
        <f t="shared" si="16"/>
        <v>-5169.0855044217587</v>
      </c>
      <c r="J40" s="47">
        <f t="shared" si="18"/>
        <v>-15680</v>
      </c>
      <c r="K40" s="47">
        <f t="shared" si="19"/>
        <v>-11146.290494970135</v>
      </c>
      <c r="L40" s="47">
        <f t="shared" si="20"/>
        <v>-8057.3016566266506</v>
      </c>
      <c r="M40" s="47">
        <f t="shared" si="21"/>
        <v>47404.057562607311</v>
      </c>
      <c r="N40" s="47">
        <f t="shared" si="22"/>
        <v>38612.320099629695</v>
      </c>
      <c r="O40" s="34"/>
      <c r="P40" s="35"/>
      <c r="Q40" s="35"/>
      <c r="R40" s="33"/>
      <c r="S40" s="43"/>
      <c r="T40" s="19"/>
      <c r="U40" s="27">
        <f t="shared" si="23"/>
        <v>47404.057562607311</v>
      </c>
      <c r="V40" s="28">
        <f t="shared" si="23"/>
        <v>38612.320099629695</v>
      </c>
    </row>
    <row r="41" spans="1:22" hidden="1" outlineLevel="1" x14ac:dyDescent="0.25">
      <c r="A41" s="18"/>
      <c r="B41" s="38">
        <f t="shared" si="4"/>
        <v>9</v>
      </c>
      <c r="C41" s="54">
        <f t="shared" si="17"/>
        <v>147.0239879788486</v>
      </c>
      <c r="D41" s="33">
        <f>C41*VLOOKUP($A$33,Ταρίφες!$A$6:$G$23,$K$6,FALSE)*(1+$F$3)^(B41-1)</f>
        <v>67631.034470270359</v>
      </c>
      <c r="E41" s="33">
        <f>C41*VLOOKUP($A$33,Ταρίφες!$A$6:$G$23,$K$7,FALSE)*(1+$F$3)^(B41-1)</f>
        <v>55869.115431962469</v>
      </c>
      <c r="F41" s="46">
        <f t="shared" si="13"/>
        <v>-2108.9868858040782</v>
      </c>
      <c r="G41" s="47">
        <f t="shared" si="14"/>
        <v>-1171.6593810022655</v>
      </c>
      <c r="H41" s="47">
        <f t="shared" si="15"/>
        <v>-1405.9912572027185</v>
      </c>
      <c r="I41" s="46">
        <f t="shared" si="16"/>
        <v>-5272.4672145101949</v>
      </c>
      <c r="J41" s="47">
        <f t="shared" si="18"/>
        <v>-15680</v>
      </c>
      <c r="K41" s="47">
        <f t="shared" si="19"/>
        <v>-10917.901730255287</v>
      </c>
      <c r="L41" s="47">
        <f t="shared" si="20"/>
        <v>-7859.8027802952356</v>
      </c>
      <c r="M41" s="47">
        <f t="shared" si="21"/>
        <v>46754.028001495812</v>
      </c>
      <c r="N41" s="47">
        <f t="shared" si="22"/>
        <v>38050.207913147977</v>
      </c>
      <c r="O41" s="34"/>
      <c r="P41" s="35"/>
      <c r="Q41" s="35"/>
      <c r="R41" s="33"/>
      <c r="S41" s="43"/>
      <c r="T41" s="19"/>
      <c r="U41" s="27">
        <f t="shared" si="23"/>
        <v>46754.028001495812</v>
      </c>
      <c r="V41" s="28">
        <f t="shared" si="23"/>
        <v>38050.207913147977</v>
      </c>
    </row>
    <row r="42" spans="1:22" hidden="1" outlineLevel="1" x14ac:dyDescent="0.25">
      <c r="A42" s="18"/>
      <c r="B42" s="38">
        <f t="shared" si="4"/>
        <v>10</v>
      </c>
      <c r="C42" s="54">
        <f t="shared" si="17"/>
        <v>145.5537480990601</v>
      </c>
      <c r="D42" s="33">
        <f>C42*VLOOKUP($A$33,Ταρίφες!$A$6:$G$23,$K$6,FALSE)*(1+$F$3)^(B42-1)</f>
        <v>66954.724125567649</v>
      </c>
      <c r="E42" s="33">
        <f>C42*VLOOKUP($A$33,Ταρίφες!$A$6:$G$23,$K$7,FALSE)*(1+$F$3)^(B42-1)</f>
        <v>55310.424277642836</v>
      </c>
      <c r="F42" s="46">
        <f t="shared" si="13"/>
        <v>-2151.1666235201596</v>
      </c>
      <c r="G42" s="47">
        <f t="shared" si="14"/>
        <v>-1195.0925686223109</v>
      </c>
      <c r="H42" s="47">
        <f t="shared" si="15"/>
        <v>-1434.1110823467729</v>
      </c>
      <c r="I42" s="46">
        <f t="shared" si="16"/>
        <v>-5377.9165588003989</v>
      </c>
      <c r="J42" s="47">
        <f t="shared" si="18"/>
        <v>-15680</v>
      </c>
      <c r="K42" s="47">
        <f t="shared" si="19"/>
        <v>-10690.27369599228</v>
      </c>
      <c r="L42" s="47">
        <f t="shared" si="20"/>
        <v>-7662.7557355318304</v>
      </c>
      <c r="M42" s="47">
        <f t="shared" si="21"/>
        <v>46106.163596285725</v>
      </c>
      <c r="N42" s="47">
        <f t="shared" si="22"/>
        <v>37489.381708821369</v>
      </c>
      <c r="O42" s="34"/>
      <c r="P42" s="35"/>
      <c r="Q42" s="35"/>
      <c r="R42" s="33"/>
      <c r="S42" s="43"/>
      <c r="T42" s="19"/>
      <c r="U42" s="27">
        <f t="shared" si="23"/>
        <v>46106.163596285725</v>
      </c>
      <c r="V42" s="28">
        <f t="shared" si="23"/>
        <v>37489.381708821369</v>
      </c>
    </row>
    <row r="43" spans="1:22" hidden="1" outlineLevel="1" x14ac:dyDescent="0.25">
      <c r="A43" s="18"/>
      <c r="B43" s="38">
        <f t="shared" si="4"/>
        <v>11</v>
      </c>
      <c r="C43" s="54">
        <f t="shared" si="17"/>
        <v>144.09821061806949</v>
      </c>
      <c r="D43" s="33">
        <f>C43*VLOOKUP($A$33,Ταρίφες!$A$6:$G$23,$K$6,FALSE)*(1+$F$3)^(B43-1)</f>
        <v>66285.176884311964</v>
      </c>
      <c r="E43" s="33">
        <f>C43*VLOOKUP($A$33,Ταρίφες!$A$6:$G$23,$K$7,FALSE)*(1+$F$3)^(B43-1)</f>
        <v>54757.320034866403</v>
      </c>
      <c r="F43" s="46">
        <f t="shared" si="13"/>
        <v>-2194.1899559905628</v>
      </c>
      <c r="G43" s="47">
        <f t="shared" si="14"/>
        <v>-1218.9944199947572</v>
      </c>
      <c r="H43" s="47">
        <f t="shared" si="15"/>
        <v>-1462.7933039937086</v>
      </c>
      <c r="I43" s="46">
        <f t="shared" si="16"/>
        <v>-5485.4748899764072</v>
      </c>
      <c r="J43" s="47">
        <f t="shared" si="18"/>
        <v>-15680</v>
      </c>
      <c r="K43" s="47">
        <f t="shared" si="19"/>
        <v>-10463.368321732698</v>
      </c>
      <c r="L43" s="47">
        <f t="shared" si="20"/>
        <v>-7466.125540876852</v>
      </c>
      <c r="M43" s="47">
        <f t="shared" si="21"/>
        <v>45460.35599262383</v>
      </c>
      <c r="N43" s="47">
        <f t="shared" si="22"/>
        <v>36929.741924034111</v>
      </c>
      <c r="O43" s="34"/>
      <c r="P43" s="35"/>
      <c r="Q43" s="35"/>
      <c r="R43" s="33"/>
      <c r="S43" s="43"/>
      <c r="T43" s="19"/>
      <c r="U43" s="27">
        <f t="shared" si="23"/>
        <v>45460.35599262383</v>
      </c>
      <c r="V43" s="28">
        <f t="shared" si="23"/>
        <v>36929.741924034111</v>
      </c>
    </row>
    <row r="44" spans="1:22" hidden="1" outlineLevel="1" x14ac:dyDescent="0.25">
      <c r="A44" s="18"/>
      <c r="B44" s="38">
        <f t="shared" si="4"/>
        <v>12</v>
      </c>
      <c r="C44" s="54">
        <f t="shared" si="17"/>
        <v>142.6572285118888</v>
      </c>
      <c r="D44" s="33">
        <f>C44*VLOOKUP($A$33,Ταρίφες!$A$6:$G$23,$K$6,FALSE)*(1+$F$3)^(B44-1)</f>
        <v>65622.325115468848</v>
      </c>
      <c r="E44" s="33">
        <f>C44*VLOOKUP($A$33,Ταρίφες!$A$6:$G$23,$K$7,FALSE)*(1+$F$3)^(B44-1)</f>
        <v>54209.746834517748</v>
      </c>
      <c r="F44" s="46">
        <f t="shared" si="13"/>
        <v>-2238.0737551103734</v>
      </c>
      <c r="G44" s="47">
        <f t="shared" si="14"/>
        <v>-1243.374308394652</v>
      </c>
      <c r="H44" s="47">
        <f t="shared" si="15"/>
        <v>-1492.0491700735824</v>
      </c>
      <c r="I44" s="46">
        <f t="shared" si="16"/>
        <v>-5595.1843877759338</v>
      </c>
      <c r="J44" s="47">
        <f t="shared" si="18"/>
        <v>-15680</v>
      </c>
      <c r="K44" s="47">
        <f t="shared" si="19"/>
        <v>-10237.147308469721</v>
      </c>
      <c r="L44" s="47">
        <f t="shared" si="20"/>
        <v>-7269.8769554224336</v>
      </c>
      <c r="M44" s="47">
        <f t="shared" si="21"/>
        <v>44816.496185644588</v>
      </c>
      <c r="N44" s="47">
        <f t="shared" si="22"/>
        <v>36371.188257740774</v>
      </c>
      <c r="O44" s="34"/>
      <c r="P44" s="35"/>
      <c r="Q44" s="35"/>
      <c r="R44" s="33"/>
      <c r="S44" s="43"/>
      <c r="T44" s="19"/>
      <c r="U44" s="27">
        <f t="shared" si="23"/>
        <v>44816.496185644588</v>
      </c>
      <c r="V44" s="28">
        <f t="shared" si="23"/>
        <v>36371.188257740774</v>
      </c>
    </row>
    <row r="45" spans="1:22" hidden="1" outlineLevel="1" x14ac:dyDescent="0.25">
      <c r="A45" s="18"/>
      <c r="B45" s="38">
        <f t="shared" si="4"/>
        <v>13</v>
      </c>
      <c r="C45" s="54">
        <f t="shared" si="17"/>
        <v>141.23065622676992</v>
      </c>
      <c r="D45" s="33">
        <f>C45*VLOOKUP($A$33,Ταρίφες!$A$6:$G$23,$K$6,FALSE)*(1+$F$3)^(B45-1)</f>
        <v>64966.101864314165</v>
      </c>
      <c r="E45" s="33">
        <f>C45*VLOOKUP($A$33,Ταρίφες!$A$6:$G$23,$K$7,FALSE)*(1+$F$3)^(B45-1)</f>
        <v>53667.649366172569</v>
      </c>
      <c r="F45" s="46">
        <f t="shared" si="13"/>
        <v>-2282.8352302125813</v>
      </c>
      <c r="G45" s="47">
        <f t="shared" si="14"/>
        <v>-1268.2417945625452</v>
      </c>
      <c r="H45" s="47">
        <f t="shared" si="15"/>
        <v>-1521.8901534750544</v>
      </c>
      <c r="I45" s="46">
        <f t="shared" si="16"/>
        <v>-5707.0880755314538</v>
      </c>
      <c r="J45" s="47">
        <f t="shared" si="18"/>
        <v>-15680</v>
      </c>
      <c r="K45" s="47">
        <f t="shared" si="19"/>
        <v>-10011.572118738459</v>
      </c>
      <c r="L45" s="47">
        <f t="shared" si="20"/>
        <v>-7073.9744692216436</v>
      </c>
      <c r="M45" s="47">
        <f t="shared" si="21"/>
        <v>44174.47449179407</v>
      </c>
      <c r="N45" s="47">
        <f t="shared" si="22"/>
        <v>35813.619643169295</v>
      </c>
      <c r="O45" s="34"/>
      <c r="P45" s="35"/>
      <c r="Q45" s="35"/>
      <c r="R45" s="33"/>
      <c r="S45" s="43"/>
      <c r="T45" s="19"/>
      <c r="U45" s="27">
        <f t="shared" si="23"/>
        <v>44174.47449179407</v>
      </c>
      <c r="V45" s="28">
        <f t="shared" si="23"/>
        <v>35813.619643169295</v>
      </c>
    </row>
    <row r="46" spans="1:22" hidden="1" outlineLevel="1" x14ac:dyDescent="0.25">
      <c r="A46" s="18"/>
      <c r="B46" s="38">
        <f t="shared" si="4"/>
        <v>14</v>
      </c>
      <c r="C46" s="54">
        <f t="shared" si="17"/>
        <v>139.81834966450222</v>
      </c>
      <c r="D46" s="33">
        <f>C46*VLOOKUP($A$33,Ταρίφες!$A$6:$G$23,$K$6,FALSE)*(1+$F$3)^(B46-1)</f>
        <v>64316.440845671023</v>
      </c>
      <c r="E46" s="33">
        <f>C46*VLOOKUP($A$33,Ταρίφες!$A$6:$G$23,$K$7,FALSE)*(1+$F$3)^(B46-1)</f>
        <v>53130.972872510843</v>
      </c>
      <c r="F46" s="46">
        <f t="shared" si="13"/>
        <v>-2328.4919348168328</v>
      </c>
      <c r="G46" s="47">
        <f t="shared" si="14"/>
        <v>-1293.606630453796</v>
      </c>
      <c r="H46" s="47">
        <f t="shared" si="15"/>
        <v>-1552.3279565445553</v>
      </c>
      <c r="I46" s="46">
        <f t="shared" si="16"/>
        <v>-5821.2298370420822</v>
      </c>
      <c r="J46" s="47">
        <f t="shared" si="18"/>
        <v>-15680</v>
      </c>
      <c r="K46" s="47">
        <f t="shared" si="19"/>
        <v>-9786.6039665715762</v>
      </c>
      <c r="L46" s="47">
        <f t="shared" si="20"/>
        <v>-6878.3822935499302</v>
      </c>
      <c r="M46" s="47">
        <f t="shared" si="21"/>
        <v>43534.180520242182</v>
      </c>
      <c r="N46" s="47">
        <f t="shared" si="22"/>
        <v>35256.934220103649</v>
      </c>
      <c r="O46" s="34"/>
      <c r="P46" s="35"/>
      <c r="Q46" s="35"/>
      <c r="R46" s="33"/>
      <c r="S46" s="43"/>
      <c r="T46" s="19"/>
      <c r="U46" s="27">
        <f t="shared" si="23"/>
        <v>43534.180520242182</v>
      </c>
      <c r="V46" s="28">
        <f t="shared" si="23"/>
        <v>35256.934220103649</v>
      </c>
    </row>
    <row r="47" spans="1:22" hidden="1" outlineLevel="1" x14ac:dyDescent="0.25">
      <c r="A47" s="18"/>
      <c r="B47" s="38">
        <f t="shared" si="4"/>
        <v>15</v>
      </c>
      <c r="C47" s="54">
        <f t="shared" si="17"/>
        <v>138.42016616785719</v>
      </c>
      <c r="D47" s="33">
        <f>C47*VLOOKUP($A$33,Ταρίφες!$A$6:$G$23,$K$6,FALSE)*(1+$F$3)^(B47-1)</f>
        <v>63673.276437214306</v>
      </c>
      <c r="E47" s="33">
        <f>C47*VLOOKUP($A$33,Ταρίφες!$A$6:$G$23,$K$7,FALSE)*(1+$F$3)^(B47-1)</f>
        <v>52599.663143785729</v>
      </c>
      <c r="F47" s="46">
        <f t="shared" si="13"/>
        <v>-2375.06177351317</v>
      </c>
      <c r="G47" s="47">
        <f t="shared" si="14"/>
        <v>-1319.4787630628721</v>
      </c>
      <c r="H47" s="47">
        <f t="shared" si="15"/>
        <v>-1583.3745156754467</v>
      </c>
      <c r="I47" s="46">
        <f t="shared" si="16"/>
        <v>-5937.6544337829246</v>
      </c>
      <c r="J47" s="47">
        <f t="shared" si="18"/>
        <v>-15680</v>
      </c>
      <c r="K47" s="47">
        <f t="shared" si="19"/>
        <v>-9562.2038073067724</v>
      </c>
      <c r="L47" s="47">
        <f t="shared" si="20"/>
        <v>-6683.0643510153423</v>
      </c>
      <c r="M47" s="47">
        <f t="shared" si="21"/>
        <v>42895.503143873117</v>
      </c>
      <c r="N47" s="47">
        <f t="shared" si="22"/>
        <v>34701.029306735974</v>
      </c>
      <c r="O47" s="34"/>
      <c r="P47" s="35"/>
      <c r="Q47" s="35"/>
      <c r="R47" s="33"/>
      <c r="S47" s="43"/>
      <c r="T47" s="19"/>
      <c r="U47" s="27">
        <f t="shared" si="23"/>
        <v>42895.503143873117</v>
      </c>
      <c r="V47" s="28">
        <f t="shared" si="23"/>
        <v>34701.029306735974</v>
      </c>
    </row>
    <row r="48" spans="1:22" hidden="1" outlineLevel="1" x14ac:dyDescent="0.25">
      <c r="A48" s="18"/>
      <c r="B48" s="38">
        <f t="shared" si="4"/>
        <v>16</v>
      </c>
      <c r="C48" s="54">
        <f t="shared" si="17"/>
        <v>137.03596450617863</v>
      </c>
      <c r="D48" s="33">
        <f>C48*VLOOKUP($A$33,Ταρίφες!$A$6:$G$23,$K$6,FALSE)*(1+$F$3)^(B48-1)</f>
        <v>63036.54367284217</v>
      </c>
      <c r="E48" s="33">
        <f>C48*VLOOKUP($A$33,Ταρίφες!$A$6:$G$23,$K$7,FALSE)*(1+$F$3)^(B48-1)</f>
        <v>52073.666512347882</v>
      </c>
      <c r="F48" s="46">
        <f t="shared" si="13"/>
        <v>-2422.5630089834326</v>
      </c>
      <c r="G48" s="47">
        <f t="shared" si="14"/>
        <v>-1345.8683383241291</v>
      </c>
      <c r="H48" s="47">
        <f t="shared" si="15"/>
        <v>-1615.042005988955</v>
      </c>
      <c r="I48" s="46">
        <f t="shared" si="16"/>
        <v>-6056.4075224585813</v>
      </c>
      <c r="J48" s="47">
        <f t="shared" si="18"/>
        <v>-15680</v>
      </c>
      <c r="K48" s="47">
        <f t="shared" si="19"/>
        <v>-9338.3323272426405</v>
      </c>
      <c r="L48" s="47">
        <f t="shared" si="20"/>
        <v>-6487.9842655141238</v>
      </c>
      <c r="M48" s="47">
        <f t="shared" si="21"/>
        <v>42258.330469844434</v>
      </c>
      <c r="N48" s="47">
        <f t="shared" si="22"/>
        <v>34145.801371078662</v>
      </c>
      <c r="O48" s="34"/>
      <c r="P48" s="35"/>
      <c r="Q48" s="35"/>
      <c r="R48" s="33"/>
      <c r="S48" s="43"/>
      <c r="T48" s="19"/>
      <c r="U48" s="27">
        <f t="shared" si="23"/>
        <v>42258.330469844434</v>
      </c>
      <c r="V48" s="28">
        <f t="shared" si="23"/>
        <v>34145.801371078662</v>
      </c>
    </row>
    <row r="49" spans="1:22" hidden="1" outlineLevel="1" x14ac:dyDescent="0.25">
      <c r="A49" s="18"/>
      <c r="B49" s="38">
        <f t="shared" si="4"/>
        <v>17</v>
      </c>
      <c r="C49" s="54">
        <f t="shared" si="17"/>
        <v>135.66560486111683</v>
      </c>
      <c r="D49" s="33">
        <f>C49*VLOOKUP($A$33,Ταρίφες!$A$6:$G$23,$K$6,FALSE)*(1+$F$3)^(B49-1)</f>
        <v>62406.178236113745</v>
      </c>
      <c r="E49" s="33">
        <f>C49*VLOOKUP($A$33,Ταρίφες!$A$6:$G$23,$K$7,FALSE)*(1+$F$3)^(B49-1)</f>
        <v>51552.929847224397</v>
      </c>
      <c r="F49" s="46">
        <f t="shared" si="13"/>
        <v>-2471.0142691631017</v>
      </c>
      <c r="G49" s="47">
        <f t="shared" si="14"/>
        <v>-1372.7857050906121</v>
      </c>
      <c r="H49" s="47">
        <f t="shared" si="15"/>
        <v>-1647.3428461087344</v>
      </c>
      <c r="I49" s="46">
        <f t="shared" si="16"/>
        <v>-6177.5356729077539</v>
      </c>
      <c r="J49" s="47">
        <f t="shared" si="18"/>
        <v>-15680</v>
      </c>
      <c r="K49" s="47">
        <f t="shared" si="19"/>
        <v>-9114.9499331393217</v>
      </c>
      <c r="L49" s="47">
        <f t="shared" si="20"/>
        <v>-6293.1053520280911</v>
      </c>
      <c r="M49" s="47">
        <f t="shared" si="21"/>
        <v>41622.549809704222</v>
      </c>
      <c r="N49" s="47">
        <f t="shared" si="22"/>
        <v>33591.146001926107</v>
      </c>
      <c r="O49" s="34"/>
      <c r="P49" s="35"/>
      <c r="Q49" s="35"/>
      <c r="R49" s="33"/>
      <c r="S49" s="43"/>
      <c r="T49" s="19"/>
      <c r="U49" s="27">
        <f t="shared" si="23"/>
        <v>41622.549809704222</v>
      </c>
      <c r="V49" s="28">
        <f t="shared" si="23"/>
        <v>33591.146001926107</v>
      </c>
    </row>
    <row r="50" spans="1:22" hidden="1" outlineLevel="1" x14ac:dyDescent="0.25">
      <c r="A50" s="18"/>
      <c r="B50" s="38">
        <f t="shared" si="4"/>
        <v>18</v>
      </c>
      <c r="C50" s="54">
        <f t="shared" si="17"/>
        <v>134.30894881250566</v>
      </c>
      <c r="D50" s="33">
        <f>C50*VLOOKUP($A$33,Ταρίφες!$A$6:$G$23,$K$6,FALSE)*(1+$F$3)^(B50-1)</f>
        <v>61782.116453752606</v>
      </c>
      <c r="E50" s="33">
        <f>C50*VLOOKUP($A$33,Ταρίφες!$A$6:$G$23,$K$7,FALSE)*(1+$F$3)^(B50-1)</f>
        <v>51037.40054875215</v>
      </c>
      <c r="F50" s="46">
        <f t="shared" si="13"/>
        <v>-2520.4345545463639</v>
      </c>
      <c r="G50" s="47">
        <f t="shared" si="14"/>
        <v>-1400.2414191924245</v>
      </c>
      <c r="H50" s="47">
        <f t="shared" si="15"/>
        <v>-1680.2897030309093</v>
      </c>
      <c r="I50" s="46">
        <f t="shared" si="16"/>
        <v>-6301.0863863659097</v>
      </c>
      <c r="J50" s="47">
        <f t="shared" si="18"/>
        <v>-15680</v>
      </c>
      <c r="K50" s="47">
        <f t="shared" si="19"/>
        <v>-8892.016741560421</v>
      </c>
      <c r="L50" s="47">
        <f t="shared" si="20"/>
        <v>-6098.390606260301</v>
      </c>
      <c r="M50" s="47">
        <f t="shared" si="21"/>
        <v>40988.047649056578</v>
      </c>
      <c r="N50" s="47">
        <f t="shared" si="22"/>
        <v>33036.957879356247</v>
      </c>
      <c r="O50" s="34"/>
      <c r="P50" s="35"/>
      <c r="Q50" s="35"/>
      <c r="R50" s="33"/>
      <c r="S50" s="43"/>
      <c r="T50" s="19"/>
      <c r="U50" s="27">
        <f t="shared" si="23"/>
        <v>40988.047649056578</v>
      </c>
      <c r="V50" s="28">
        <f t="shared" si="23"/>
        <v>33036.957879356247</v>
      </c>
    </row>
    <row r="51" spans="1:22" hidden="1" outlineLevel="1" x14ac:dyDescent="0.25">
      <c r="A51" s="18"/>
      <c r="B51" s="38">
        <f t="shared" si="4"/>
        <v>19</v>
      </c>
      <c r="C51" s="54">
        <f t="shared" si="17"/>
        <v>132.9658593243806</v>
      </c>
      <c r="D51" s="33">
        <f>C51*VLOOKUP($A$33,Ταρίφες!$A$6:$G$23,$K$6,FALSE)*(1+$F$3)^(B51-1)</f>
        <v>61164.295289215079</v>
      </c>
      <c r="E51" s="33">
        <f>C51*VLOOKUP($A$33,Ταρίφες!$A$6:$G$23,$K$7,FALSE)*(1+$F$3)^(B51-1)</f>
        <v>50527.026543264627</v>
      </c>
      <c r="F51" s="46">
        <f t="shared" si="13"/>
        <v>-2570.8432456372907</v>
      </c>
      <c r="G51" s="47">
        <f t="shared" si="14"/>
        <v>-1428.2462475762727</v>
      </c>
      <c r="H51" s="47">
        <f t="shared" si="15"/>
        <v>-1713.8954970915272</v>
      </c>
      <c r="I51" s="46">
        <f t="shared" si="16"/>
        <v>-6427.1081140932274</v>
      </c>
      <c r="J51" s="47">
        <f t="shared" si="18"/>
        <v>-15680</v>
      </c>
      <c r="K51" s="47">
        <f t="shared" si="19"/>
        <v>-8669.4925680523593</v>
      </c>
      <c r="L51" s="47">
        <f t="shared" si="20"/>
        <v>-5903.8026941052403</v>
      </c>
      <c r="M51" s="47">
        <f t="shared" si="21"/>
        <v>40354.709616764405</v>
      </c>
      <c r="N51" s="47">
        <f t="shared" si="22"/>
        <v>32483.130744761071</v>
      </c>
      <c r="O51" s="34"/>
      <c r="P51" s="35"/>
      <c r="Q51" s="35"/>
      <c r="R51" s="33"/>
      <c r="S51" s="43"/>
      <c r="T51" s="19"/>
      <c r="U51" s="27">
        <f t="shared" si="23"/>
        <v>40354.709616764405</v>
      </c>
      <c r="V51" s="28">
        <f t="shared" si="23"/>
        <v>32483.130744761071</v>
      </c>
    </row>
    <row r="52" spans="1:22" hidden="1" outlineLevel="1" x14ac:dyDescent="0.25">
      <c r="A52" s="18"/>
      <c r="B52" s="38">
        <f t="shared" si="4"/>
        <v>20</v>
      </c>
      <c r="C52" s="54">
        <f t="shared" si="17"/>
        <v>131.6362007311368</v>
      </c>
      <c r="D52" s="33">
        <f>C52*VLOOKUP($A$33,Ταρίφες!$A$6:$G$23,$K$6,FALSE)*(1+$F$3)^(B52-1)</f>
        <v>60552.652336322928</v>
      </c>
      <c r="E52" s="33">
        <f>C52*VLOOKUP($A$33,Ταρίφες!$A$6:$G$23,$K$7,FALSE)*(1+$F$3)^(B52-1)</f>
        <v>50021.756277831984</v>
      </c>
      <c r="F52" s="46">
        <f t="shared" si="13"/>
        <v>-2622.2601105500366</v>
      </c>
      <c r="G52" s="47">
        <f t="shared" si="14"/>
        <v>-1456.8111725277981</v>
      </c>
      <c r="H52" s="47">
        <f t="shared" si="15"/>
        <v>-1748.1734070333578</v>
      </c>
      <c r="I52" s="46">
        <f t="shared" si="16"/>
        <v>-6555.6502763750914</v>
      </c>
      <c r="J52" s="47">
        <f t="shared" si="18"/>
        <v>-15680</v>
      </c>
      <c r="K52" s="47">
        <f t="shared" si="19"/>
        <v>-8447.3369161575283</v>
      </c>
      <c r="L52" s="47">
        <f t="shared" si="20"/>
        <v>-5709.3039409498824</v>
      </c>
      <c r="M52" s="47">
        <f t="shared" si="21"/>
        <v>39722.420453679122</v>
      </c>
      <c r="N52" s="47">
        <f t="shared" si="22"/>
        <v>31929.557370395814</v>
      </c>
      <c r="O52" s="34"/>
      <c r="P52" s="35"/>
      <c r="Q52" s="35"/>
      <c r="R52" s="33"/>
      <c r="S52" s="43"/>
      <c r="T52" s="19"/>
      <c r="U52" s="27">
        <f>M52</f>
        <v>39722.420453679122</v>
      </c>
      <c r="V52" s="28">
        <f t="shared" ref="V52" si="24">N52</f>
        <v>31929.557370395814</v>
      </c>
    </row>
    <row r="53" spans="1:22" hidden="1" outlineLevel="1" x14ac:dyDescent="0.25">
      <c r="A53" s="40"/>
      <c r="B53" s="50"/>
      <c r="C53" s="56"/>
      <c r="D53" s="22"/>
      <c r="E53" s="22"/>
      <c r="F53" s="48"/>
      <c r="G53" s="51"/>
      <c r="H53" s="51"/>
      <c r="I53" s="48"/>
      <c r="J53" s="51"/>
      <c r="K53" s="51"/>
      <c r="L53" s="51"/>
      <c r="M53" s="51"/>
      <c r="N53" s="51"/>
      <c r="O53" s="17"/>
      <c r="P53" s="25"/>
      <c r="Q53" s="25"/>
      <c r="R53" s="22"/>
      <c r="S53" s="52"/>
      <c r="T53" s="44"/>
      <c r="U53" s="26">
        <f>O54</f>
        <v>-357000</v>
      </c>
      <c r="V53" s="26">
        <f>R54</f>
        <v>-272859.375</v>
      </c>
    </row>
    <row r="54" spans="1:22" collapsed="1" x14ac:dyDescent="0.25">
      <c r="A54" s="32" t="str">
        <f>Ταρίφες!A12</f>
        <v>Γ Τριμ. 2010</v>
      </c>
      <c r="B54" s="38">
        <f>1</f>
        <v>1</v>
      </c>
      <c r="C54" s="54">
        <f>$F$8*$K$2/1000</f>
        <v>159.33333333333331</v>
      </c>
      <c r="D54" s="33">
        <f>C54*VLOOKUP($A$54,Ταρίφες!$A$6:$G$23,$K$6,FALSE)*(1+$F$3)^(B54-1)</f>
        <v>73293.333333333328</v>
      </c>
      <c r="E54" s="33">
        <f>C54*VLOOKUP($A$54,Ταρίφες!$A$6:$G$23,$K$7,FALSE)*(1+$F$3)^(B54-1)</f>
        <v>58156.666666666657</v>
      </c>
      <c r="F54" s="46">
        <f t="shared" ref="F54:F73" si="25">-($K$5*(1+$F$4)^(B54-$B$12))</f>
        <v>-1800</v>
      </c>
      <c r="G54" s="47">
        <f t="shared" ref="G54:G73" si="26">-$K$2*10*(1+$F$4)^(B54-$B$12)</f>
        <v>-1000</v>
      </c>
      <c r="H54" s="47">
        <f t="shared" ref="H54:H73" si="27">-$K$4*(1+$F$4)^(B54-$B$12)</f>
        <v>-1200</v>
      </c>
      <c r="I54" s="46">
        <f t="shared" ref="I54:I73" si="28">-(4500*(1+$F$4)^(B54-$B$12))</f>
        <v>-4500</v>
      </c>
      <c r="J54" s="47">
        <f>$O$54*4%</f>
        <v>-14280</v>
      </c>
      <c r="K54" s="47">
        <f>-(D54+SUM(F54:J54))*$F$5</f>
        <v>-13133.466666666665</v>
      </c>
      <c r="L54" s="47">
        <f>-(E54+SUM(F54:J54))*$F$5</f>
        <v>-9197.9333333333307</v>
      </c>
      <c r="M54" s="47">
        <f>D54+SUM(F54:I54)+K54</f>
        <v>51659.866666666661</v>
      </c>
      <c r="N54" s="47">
        <f>E54+SUM(F54:I54)+L54</f>
        <v>40458.733333333323</v>
      </c>
      <c r="O54" s="35">
        <f>-VLOOKUP(A54,'Κόστος Κατασκευής'!$A$4:$Q$17,$K$8,FALSE)</f>
        <v>-357000</v>
      </c>
      <c r="P54" s="36">
        <f>$K$3</f>
        <v>120000</v>
      </c>
      <c r="Q54" s="36">
        <f>Q33*15/16</f>
        <v>-35859.375</v>
      </c>
      <c r="R54" s="37">
        <f>SUM(O54:Q54)</f>
        <v>-272859.375</v>
      </c>
      <c r="S54" s="42">
        <f>IRR(U53:U73)</f>
        <v>0.11969630145193899</v>
      </c>
      <c r="T54" s="42">
        <f>IRR(V53:V73)</f>
        <v>0.12286245717775035</v>
      </c>
      <c r="U54" s="27">
        <f>M54</f>
        <v>51659.866666666661</v>
      </c>
      <c r="V54" s="28">
        <f>N54</f>
        <v>40458.733333333323</v>
      </c>
    </row>
    <row r="55" spans="1:22" hidden="1" outlineLevel="1" x14ac:dyDescent="0.25">
      <c r="A55" s="18"/>
      <c r="B55" s="38">
        <f>B54+1</f>
        <v>2</v>
      </c>
      <c r="C55" s="54">
        <f t="shared" ref="C55:C73" si="29">C54*(1-$F$2)</f>
        <v>157.73999999999998</v>
      </c>
      <c r="D55" s="33">
        <f>C55*VLOOKUP($A$54,Ταρίφες!$A$6:$G$23,$K$6,FALSE)*(1+$F$3)^(B55-1)</f>
        <v>72560.399999999994</v>
      </c>
      <c r="E55" s="33">
        <f>C55*VLOOKUP($A$54,Ταρίφες!$A$6:$G$23,$K$7,FALSE)*(1+$F$3)^(B55-1)</f>
        <v>57575.099999999991</v>
      </c>
      <c r="F55" s="46">
        <f t="shared" si="25"/>
        <v>-1836</v>
      </c>
      <c r="G55" s="47">
        <f t="shared" si="26"/>
        <v>-1020</v>
      </c>
      <c r="H55" s="47">
        <f t="shared" si="27"/>
        <v>-1224</v>
      </c>
      <c r="I55" s="46">
        <f t="shared" si="28"/>
        <v>-4590</v>
      </c>
      <c r="J55" s="47">
        <f t="shared" ref="J55:J73" si="30">$O$54*4%</f>
        <v>-14280</v>
      </c>
      <c r="K55" s="47">
        <f t="shared" ref="K55:K73" si="31">-(D55+SUM(F55:J55))*$F$5</f>
        <v>-12898.704</v>
      </c>
      <c r="L55" s="47">
        <f t="shared" ref="L55:L73" si="32">-(E55+SUM(F55:J55))*$F$5</f>
        <v>-9002.525999999998</v>
      </c>
      <c r="M55" s="47">
        <f t="shared" ref="M55:M73" si="33">D55+SUM(F55:I55)+K55</f>
        <v>50991.695999999996</v>
      </c>
      <c r="N55" s="47">
        <f t="shared" ref="N55:N73" si="34">E55+SUM(F55:I55)+L55</f>
        <v>39902.573999999993</v>
      </c>
      <c r="O55" s="34"/>
      <c r="P55" s="35"/>
      <c r="Q55" s="35"/>
      <c r="R55" s="33"/>
      <c r="S55" s="43"/>
      <c r="T55" s="19"/>
      <c r="U55" s="27">
        <f t="shared" ref="U55:V72" si="35">M55</f>
        <v>50991.695999999996</v>
      </c>
      <c r="V55" s="28">
        <f t="shared" si="35"/>
        <v>39902.573999999993</v>
      </c>
    </row>
    <row r="56" spans="1:22" hidden="1" outlineLevel="1" x14ac:dyDescent="0.25">
      <c r="A56" s="18"/>
      <c r="B56" s="38">
        <f t="shared" ref="B56:B73" si="36">B55+1</f>
        <v>3</v>
      </c>
      <c r="C56" s="54">
        <f t="shared" si="29"/>
        <v>156.16259999999997</v>
      </c>
      <c r="D56" s="33">
        <f>C56*VLOOKUP($A$54,Ταρίφες!$A$6:$G$23,$K$6,FALSE)*(1+$F$3)^(B56-1)</f>
        <v>71834.795999999988</v>
      </c>
      <c r="E56" s="33">
        <f>C56*VLOOKUP($A$54,Ταρίφες!$A$6:$G$23,$K$7,FALSE)*(1+$F$3)^(B56-1)</f>
        <v>56999.348999999987</v>
      </c>
      <c r="F56" s="46">
        <f t="shared" si="25"/>
        <v>-1872.72</v>
      </c>
      <c r="G56" s="47">
        <f t="shared" si="26"/>
        <v>-1040.4000000000001</v>
      </c>
      <c r="H56" s="47">
        <f t="shared" si="27"/>
        <v>-1248.48</v>
      </c>
      <c r="I56" s="46">
        <f t="shared" si="28"/>
        <v>-4681.8</v>
      </c>
      <c r="J56" s="47">
        <f t="shared" si="30"/>
        <v>-14280</v>
      </c>
      <c r="K56" s="47">
        <f t="shared" si="31"/>
        <v>-12664.962959999997</v>
      </c>
      <c r="L56" s="47">
        <f t="shared" si="32"/>
        <v>-8807.7467399999969</v>
      </c>
      <c r="M56" s="47">
        <f t="shared" si="33"/>
        <v>50326.433039999989</v>
      </c>
      <c r="N56" s="47">
        <f t="shared" si="34"/>
        <v>39348.202259999991</v>
      </c>
      <c r="O56" s="34"/>
      <c r="P56" s="35"/>
      <c r="Q56" s="35"/>
      <c r="R56" s="33"/>
      <c r="S56" s="43"/>
      <c r="T56" s="19"/>
      <c r="U56" s="27">
        <f t="shared" si="35"/>
        <v>50326.433039999989</v>
      </c>
      <c r="V56" s="28">
        <f t="shared" si="35"/>
        <v>39348.202259999991</v>
      </c>
    </row>
    <row r="57" spans="1:22" hidden="1" outlineLevel="1" x14ac:dyDescent="0.25">
      <c r="A57" s="18"/>
      <c r="B57" s="38">
        <f t="shared" si="36"/>
        <v>4</v>
      </c>
      <c r="C57" s="54">
        <f t="shared" si="29"/>
        <v>154.60097399999998</v>
      </c>
      <c r="D57" s="33">
        <f>C57*VLOOKUP($A$54,Ταρίφες!$A$6:$G$23,$K$6,FALSE)*(1+$F$3)^(B57-1)</f>
        <v>71116.448039999988</v>
      </c>
      <c r="E57" s="33">
        <f>C57*VLOOKUP($A$54,Ταρίφες!$A$6:$G$23,$K$7,FALSE)*(1+$F$3)^(B57-1)</f>
        <v>56429.355509999994</v>
      </c>
      <c r="F57" s="46">
        <f t="shared" si="25"/>
        <v>-1910.1743999999999</v>
      </c>
      <c r="G57" s="47">
        <f t="shared" si="26"/>
        <v>-1061.2079999999999</v>
      </c>
      <c r="H57" s="47">
        <f t="shared" si="27"/>
        <v>-1273.4495999999999</v>
      </c>
      <c r="I57" s="46">
        <f t="shared" si="28"/>
        <v>-4775.4359999999997</v>
      </c>
      <c r="J57" s="47">
        <f t="shared" si="30"/>
        <v>-14280</v>
      </c>
      <c r="K57" s="47">
        <f t="shared" si="31"/>
        <v>-12432.206810399999</v>
      </c>
      <c r="L57" s="47">
        <f t="shared" si="32"/>
        <v>-8613.5627525999989</v>
      </c>
      <c r="M57" s="47">
        <f t="shared" si="33"/>
        <v>49663.973229599993</v>
      </c>
      <c r="N57" s="47">
        <f t="shared" si="34"/>
        <v>38795.524757399995</v>
      </c>
      <c r="O57" s="34"/>
      <c r="P57" s="35"/>
      <c r="Q57" s="35"/>
      <c r="R57" s="33"/>
      <c r="S57" s="43"/>
      <c r="T57" s="19"/>
      <c r="U57" s="27">
        <f t="shared" si="35"/>
        <v>49663.973229599993</v>
      </c>
      <c r="V57" s="28">
        <f t="shared" si="35"/>
        <v>38795.524757399995</v>
      </c>
    </row>
    <row r="58" spans="1:22" hidden="1" outlineLevel="1" x14ac:dyDescent="0.25">
      <c r="A58" s="18"/>
      <c r="B58" s="38">
        <f t="shared" si="36"/>
        <v>5</v>
      </c>
      <c r="C58" s="54">
        <f t="shared" si="29"/>
        <v>153.05496425999999</v>
      </c>
      <c r="D58" s="33">
        <f>C58*VLOOKUP($A$54,Ταρίφες!$A$6:$G$23,$K$6,FALSE)*(1+$F$3)^(B58-1)</f>
        <v>70405.283559599993</v>
      </c>
      <c r="E58" s="33">
        <f>C58*VLOOKUP($A$54,Ταρίφες!$A$6:$G$23,$K$7,FALSE)*(1+$F$3)^(B58-1)</f>
        <v>55865.061954899997</v>
      </c>
      <c r="F58" s="46">
        <f t="shared" si="25"/>
        <v>-1948.377888</v>
      </c>
      <c r="G58" s="47">
        <f t="shared" si="26"/>
        <v>-1082.4321600000001</v>
      </c>
      <c r="H58" s="47">
        <f t="shared" si="27"/>
        <v>-1298.918592</v>
      </c>
      <c r="I58" s="46">
        <f t="shared" si="28"/>
        <v>-4870.9447199999995</v>
      </c>
      <c r="J58" s="47">
        <f t="shared" si="30"/>
        <v>-14280</v>
      </c>
      <c r="K58" s="47">
        <f t="shared" si="31"/>
        <v>-12200.398651895999</v>
      </c>
      <c r="L58" s="47">
        <f t="shared" si="32"/>
        <v>-8419.9410346739987</v>
      </c>
      <c r="M58" s="47">
        <f t="shared" si="33"/>
        <v>49004.211547703992</v>
      </c>
      <c r="N58" s="47">
        <f t="shared" si="34"/>
        <v>38244.447560225999</v>
      </c>
      <c r="O58" s="34"/>
      <c r="P58" s="35"/>
      <c r="Q58" s="35"/>
      <c r="R58" s="33"/>
      <c r="S58" s="43"/>
      <c r="T58" s="19"/>
      <c r="U58" s="27">
        <f t="shared" si="35"/>
        <v>49004.211547703992</v>
      </c>
      <c r="V58" s="28">
        <f t="shared" si="35"/>
        <v>38244.447560225999</v>
      </c>
    </row>
    <row r="59" spans="1:22" hidden="1" outlineLevel="1" x14ac:dyDescent="0.25">
      <c r="A59" s="18"/>
      <c r="B59" s="38">
        <f t="shared" si="36"/>
        <v>6</v>
      </c>
      <c r="C59" s="54">
        <f t="shared" si="29"/>
        <v>151.5244146174</v>
      </c>
      <c r="D59" s="33">
        <f>C59*VLOOKUP($A$54,Ταρίφες!$A$6:$G$23,$K$6,FALSE)*(1+$F$3)^(B59-1)</f>
        <v>69701.230724003995</v>
      </c>
      <c r="E59" s="33">
        <f>C59*VLOOKUP($A$54,Ταρίφες!$A$6:$G$23,$K$7,FALSE)*(1+$F$3)^(B59-1)</f>
        <v>55306.411335350997</v>
      </c>
      <c r="F59" s="46">
        <f t="shared" si="25"/>
        <v>-1987.3454457600001</v>
      </c>
      <c r="G59" s="47">
        <f t="shared" si="26"/>
        <v>-1104.0808032</v>
      </c>
      <c r="H59" s="47">
        <f t="shared" si="27"/>
        <v>-1324.8969638400001</v>
      </c>
      <c r="I59" s="46">
        <f t="shared" si="28"/>
        <v>-4968.3636144000002</v>
      </c>
      <c r="J59" s="47">
        <f t="shared" si="30"/>
        <v>-14280</v>
      </c>
      <c r="K59" s="47">
        <f t="shared" si="31"/>
        <v>-11969.501413169039</v>
      </c>
      <c r="L59" s="47">
        <f t="shared" si="32"/>
        <v>-8226.8483721192588</v>
      </c>
      <c r="M59" s="47">
        <f t="shared" si="33"/>
        <v>48347.042483634956</v>
      </c>
      <c r="N59" s="47">
        <f t="shared" si="34"/>
        <v>37694.876136031737</v>
      </c>
      <c r="O59" s="34"/>
      <c r="P59" s="35"/>
      <c r="Q59" s="35"/>
      <c r="R59" s="33"/>
      <c r="S59" s="43"/>
      <c r="T59" s="19"/>
      <c r="U59" s="27">
        <f t="shared" si="35"/>
        <v>48347.042483634956</v>
      </c>
      <c r="V59" s="28">
        <f t="shared" si="35"/>
        <v>37694.876136031737</v>
      </c>
    </row>
    <row r="60" spans="1:22" hidden="1" outlineLevel="1" x14ac:dyDescent="0.25">
      <c r="A60" s="18"/>
      <c r="B60" s="38">
        <f t="shared" si="36"/>
        <v>7</v>
      </c>
      <c r="C60" s="54">
        <f t="shared" si="29"/>
        <v>150.00917047122599</v>
      </c>
      <c r="D60" s="33">
        <f>C60*VLOOKUP($A$54,Ταρίφες!$A$6:$G$23,$K$6,FALSE)*(1+$F$3)^(B60-1)</f>
        <v>69004.21841676395</v>
      </c>
      <c r="E60" s="33">
        <f>C60*VLOOKUP($A$54,Ταρίφες!$A$6:$G$23,$K$7,FALSE)*(1+$F$3)^(B60-1)</f>
        <v>54753.347221997486</v>
      </c>
      <c r="F60" s="46">
        <f t="shared" si="25"/>
        <v>-2027.0923546752001</v>
      </c>
      <c r="G60" s="47">
        <f t="shared" si="26"/>
        <v>-1126.1624192640002</v>
      </c>
      <c r="H60" s="47">
        <f t="shared" si="27"/>
        <v>-1351.3949031168002</v>
      </c>
      <c r="I60" s="46">
        <f t="shared" si="28"/>
        <v>-5067.7308866880003</v>
      </c>
      <c r="J60" s="47">
        <f t="shared" si="30"/>
        <v>-14280</v>
      </c>
      <c r="K60" s="47">
        <f t="shared" si="31"/>
        <v>-11739.477841785187</v>
      </c>
      <c r="L60" s="47">
        <f t="shared" si="32"/>
        <v>-8034.2513311459061</v>
      </c>
      <c r="M60" s="47">
        <f t="shared" si="33"/>
        <v>47692.360011234763</v>
      </c>
      <c r="N60" s="47">
        <f t="shared" si="34"/>
        <v>37146.71532710758</v>
      </c>
      <c r="O60" s="34"/>
      <c r="P60" s="35"/>
      <c r="Q60" s="35"/>
      <c r="R60" s="33"/>
      <c r="S60" s="43"/>
      <c r="T60" s="19"/>
      <c r="U60" s="27">
        <f t="shared" si="35"/>
        <v>47692.360011234763</v>
      </c>
      <c r="V60" s="28">
        <f t="shared" si="35"/>
        <v>37146.71532710758</v>
      </c>
    </row>
    <row r="61" spans="1:22" hidden="1" outlineLevel="1" x14ac:dyDescent="0.25">
      <c r="A61" s="18"/>
      <c r="B61" s="38">
        <f t="shared" si="36"/>
        <v>8</v>
      </c>
      <c r="C61" s="54">
        <f t="shared" si="29"/>
        <v>148.50907876651374</v>
      </c>
      <c r="D61" s="33">
        <f>C61*VLOOKUP($A$54,Ταρίφες!$A$6:$G$23,$K$6,FALSE)*(1+$F$3)^(B61-1)</f>
        <v>68314.176232596321</v>
      </c>
      <c r="E61" s="33">
        <f>C61*VLOOKUP($A$54,Ταρίφες!$A$6:$G$23,$K$7,FALSE)*(1+$F$3)^(B61-1)</f>
        <v>54205.813749777517</v>
      </c>
      <c r="F61" s="46">
        <f t="shared" si="25"/>
        <v>-2067.6342017687039</v>
      </c>
      <c r="G61" s="47">
        <f t="shared" si="26"/>
        <v>-1148.6856676492798</v>
      </c>
      <c r="H61" s="47">
        <f t="shared" si="27"/>
        <v>-1378.4228011791358</v>
      </c>
      <c r="I61" s="46">
        <f t="shared" si="28"/>
        <v>-5169.0855044217587</v>
      </c>
      <c r="J61" s="47">
        <f t="shared" si="30"/>
        <v>-14280</v>
      </c>
      <c r="K61" s="47">
        <f t="shared" si="31"/>
        <v>-11510.290494970135</v>
      </c>
      <c r="L61" s="47">
        <f t="shared" si="32"/>
        <v>-7842.1162494372466</v>
      </c>
      <c r="M61" s="47">
        <f t="shared" si="33"/>
        <v>47040.057562607311</v>
      </c>
      <c r="N61" s="47">
        <f t="shared" si="34"/>
        <v>36599.869325321393</v>
      </c>
      <c r="O61" s="34"/>
      <c r="P61" s="35"/>
      <c r="Q61" s="35"/>
      <c r="R61" s="33"/>
      <c r="S61" s="43"/>
      <c r="T61" s="19"/>
      <c r="U61" s="27">
        <f t="shared" si="35"/>
        <v>47040.057562607311</v>
      </c>
      <c r="V61" s="28">
        <f t="shared" si="35"/>
        <v>36599.869325321393</v>
      </c>
    </row>
    <row r="62" spans="1:22" hidden="1" outlineLevel="1" x14ac:dyDescent="0.25">
      <c r="A62" s="18"/>
      <c r="B62" s="38">
        <f t="shared" si="36"/>
        <v>9</v>
      </c>
      <c r="C62" s="54">
        <f t="shared" si="29"/>
        <v>147.0239879788486</v>
      </c>
      <c r="D62" s="33">
        <f>C62*VLOOKUP($A$54,Ταρίφες!$A$6:$G$23,$K$6,FALSE)*(1+$F$3)^(B62-1)</f>
        <v>67631.034470270359</v>
      </c>
      <c r="E62" s="33">
        <f>C62*VLOOKUP($A$54,Ταρίφες!$A$6:$G$23,$K$7,FALSE)*(1+$F$3)^(B62-1)</f>
        <v>53663.75561227974</v>
      </c>
      <c r="F62" s="46">
        <f t="shared" si="25"/>
        <v>-2108.9868858040782</v>
      </c>
      <c r="G62" s="47">
        <f t="shared" si="26"/>
        <v>-1171.6593810022655</v>
      </c>
      <c r="H62" s="47">
        <f t="shared" si="27"/>
        <v>-1405.9912572027185</v>
      </c>
      <c r="I62" s="46">
        <f t="shared" si="28"/>
        <v>-5272.4672145101949</v>
      </c>
      <c r="J62" s="47">
        <f t="shared" si="30"/>
        <v>-14280</v>
      </c>
      <c r="K62" s="47">
        <f t="shared" si="31"/>
        <v>-11281.901730255287</v>
      </c>
      <c r="L62" s="47">
        <f t="shared" si="32"/>
        <v>-7650.4092271777254</v>
      </c>
      <c r="M62" s="47">
        <f t="shared" si="33"/>
        <v>46390.028001495812</v>
      </c>
      <c r="N62" s="47">
        <f t="shared" si="34"/>
        <v>36054.241646582755</v>
      </c>
      <c r="O62" s="34"/>
      <c r="P62" s="35"/>
      <c r="Q62" s="35"/>
      <c r="R62" s="33"/>
      <c r="S62" s="43"/>
      <c r="T62" s="19"/>
      <c r="U62" s="27">
        <f t="shared" si="35"/>
        <v>46390.028001495812</v>
      </c>
      <c r="V62" s="28">
        <f t="shared" si="35"/>
        <v>36054.241646582755</v>
      </c>
    </row>
    <row r="63" spans="1:22" hidden="1" outlineLevel="1" x14ac:dyDescent="0.25">
      <c r="A63" s="18"/>
      <c r="B63" s="38">
        <f t="shared" si="36"/>
        <v>10</v>
      </c>
      <c r="C63" s="54">
        <f t="shared" si="29"/>
        <v>145.5537480990601</v>
      </c>
      <c r="D63" s="33">
        <f>C63*VLOOKUP($A$54,Ταρίφες!$A$6:$G$23,$K$6,FALSE)*(1+$F$3)^(B63-1)</f>
        <v>66954.724125567649</v>
      </c>
      <c r="E63" s="33">
        <f>C63*VLOOKUP($A$54,Ταρίφες!$A$6:$G$23,$K$7,FALSE)*(1+$F$3)^(B63-1)</f>
        <v>53127.118056156934</v>
      </c>
      <c r="F63" s="46">
        <f t="shared" si="25"/>
        <v>-2151.1666235201596</v>
      </c>
      <c r="G63" s="47">
        <f t="shared" si="26"/>
        <v>-1195.0925686223109</v>
      </c>
      <c r="H63" s="47">
        <f t="shared" si="27"/>
        <v>-1434.1110823467729</v>
      </c>
      <c r="I63" s="46">
        <f t="shared" si="28"/>
        <v>-5377.9165588003989</v>
      </c>
      <c r="J63" s="47">
        <f t="shared" si="30"/>
        <v>-14280</v>
      </c>
      <c r="K63" s="47">
        <f t="shared" si="31"/>
        <v>-11054.27369599228</v>
      </c>
      <c r="L63" s="47">
        <f t="shared" si="32"/>
        <v>-7459.0961179454962</v>
      </c>
      <c r="M63" s="47">
        <f t="shared" si="33"/>
        <v>45742.163596285725</v>
      </c>
      <c r="N63" s="47">
        <f t="shared" si="34"/>
        <v>35509.73510492179</v>
      </c>
      <c r="O63" s="34"/>
      <c r="P63" s="35"/>
      <c r="Q63" s="35"/>
      <c r="R63" s="33"/>
      <c r="S63" s="43"/>
      <c r="T63" s="19"/>
      <c r="U63" s="27">
        <f t="shared" si="35"/>
        <v>45742.163596285725</v>
      </c>
      <c r="V63" s="28">
        <f t="shared" si="35"/>
        <v>35509.73510492179</v>
      </c>
    </row>
    <row r="64" spans="1:22" hidden="1" outlineLevel="1" x14ac:dyDescent="0.25">
      <c r="A64" s="18"/>
      <c r="B64" s="38">
        <f t="shared" si="36"/>
        <v>11</v>
      </c>
      <c r="C64" s="54">
        <f t="shared" si="29"/>
        <v>144.09821061806949</v>
      </c>
      <c r="D64" s="33">
        <f>C64*VLOOKUP($A$54,Ταρίφες!$A$6:$G$23,$K$6,FALSE)*(1+$F$3)^(B64-1)</f>
        <v>66285.176884311964</v>
      </c>
      <c r="E64" s="33">
        <f>C64*VLOOKUP($A$54,Ταρίφες!$A$6:$G$23,$K$7,FALSE)*(1+$F$3)^(B64-1)</f>
        <v>52595.846875595365</v>
      </c>
      <c r="F64" s="46">
        <f t="shared" si="25"/>
        <v>-2194.1899559905628</v>
      </c>
      <c r="G64" s="47">
        <f t="shared" si="26"/>
        <v>-1218.9944199947572</v>
      </c>
      <c r="H64" s="47">
        <f t="shared" si="27"/>
        <v>-1462.7933039937086</v>
      </c>
      <c r="I64" s="46">
        <f t="shared" si="28"/>
        <v>-5485.4748899764072</v>
      </c>
      <c r="J64" s="47">
        <f t="shared" si="30"/>
        <v>-14280</v>
      </c>
      <c r="K64" s="47">
        <f t="shared" si="31"/>
        <v>-10827.368321732698</v>
      </c>
      <c r="L64" s="47">
        <f t="shared" si="32"/>
        <v>-7268.1425194663816</v>
      </c>
      <c r="M64" s="47">
        <f t="shared" si="33"/>
        <v>45096.35599262383</v>
      </c>
      <c r="N64" s="47">
        <f t="shared" si="34"/>
        <v>34966.251786173547</v>
      </c>
      <c r="O64" s="34"/>
      <c r="P64" s="35"/>
      <c r="Q64" s="35"/>
      <c r="R64" s="33"/>
      <c r="S64" s="43"/>
      <c r="T64" s="19"/>
      <c r="U64" s="27">
        <f t="shared" si="35"/>
        <v>45096.35599262383</v>
      </c>
      <c r="V64" s="28">
        <f t="shared" si="35"/>
        <v>34966.251786173547</v>
      </c>
    </row>
    <row r="65" spans="1:22" hidden="1" outlineLevel="1" x14ac:dyDescent="0.25">
      <c r="A65" s="18"/>
      <c r="B65" s="38">
        <f t="shared" si="36"/>
        <v>12</v>
      </c>
      <c r="C65" s="54">
        <f t="shared" si="29"/>
        <v>142.6572285118888</v>
      </c>
      <c r="D65" s="33">
        <f>C65*VLOOKUP($A$54,Ταρίφες!$A$6:$G$23,$K$6,FALSE)*(1+$F$3)^(B65-1)</f>
        <v>65622.325115468848</v>
      </c>
      <c r="E65" s="33">
        <f>C65*VLOOKUP($A$54,Ταρίφες!$A$6:$G$23,$K$7,FALSE)*(1+$F$3)^(B65-1)</f>
        <v>52069.888406839411</v>
      </c>
      <c r="F65" s="46">
        <f t="shared" si="25"/>
        <v>-2238.0737551103734</v>
      </c>
      <c r="G65" s="47">
        <f t="shared" si="26"/>
        <v>-1243.374308394652</v>
      </c>
      <c r="H65" s="47">
        <f t="shared" si="27"/>
        <v>-1492.0491700735824</v>
      </c>
      <c r="I65" s="46">
        <f t="shared" si="28"/>
        <v>-5595.1843877759338</v>
      </c>
      <c r="J65" s="47">
        <f t="shared" si="30"/>
        <v>-14280</v>
      </c>
      <c r="K65" s="47">
        <f t="shared" si="31"/>
        <v>-10601.147308469721</v>
      </c>
      <c r="L65" s="47">
        <f t="shared" si="32"/>
        <v>-7077.5137642260661</v>
      </c>
      <c r="M65" s="47">
        <f t="shared" si="33"/>
        <v>44452.496185644588</v>
      </c>
      <c r="N65" s="47">
        <f t="shared" si="34"/>
        <v>34423.693021258805</v>
      </c>
      <c r="O65" s="34"/>
      <c r="P65" s="35"/>
      <c r="Q65" s="35"/>
      <c r="R65" s="33"/>
      <c r="S65" s="43"/>
      <c r="T65" s="19"/>
      <c r="U65" s="27">
        <f t="shared" si="35"/>
        <v>44452.496185644588</v>
      </c>
      <c r="V65" s="28">
        <f t="shared" si="35"/>
        <v>34423.693021258805</v>
      </c>
    </row>
    <row r="66" spans="1:22" hidden="1" outlineLevel="1" x14ac:dyDescent="0.25">
      <c r="A66" s="18"/>
      <c r="B66" s="38">
        <f t="shared" si="36"/>
        <v>13</v>
      </c>
      <c r="C66" s="54">
        <f t="shared" si="29"/>
        <v>141.23065622676992</v>
      </c>
      <c r="D66" s="33">
        <f>C66*VLOOKUP($A$54,Ταρίφες!$A$6:$G$23,$K$6,FALSE)*(1+$F$3)^(B66-1)</f>
        <v>64966.101864314165</v>
      </c>
      <c r="E66" s="33">
        <f>C66*VLOOKUP($A$54,Ταρίφες!$A$6:$G$23,$K$7,FALSE)*(1+$F$3)^(B66-1)</f>
        <v>51549.189522771019</v>
      </c>
      <c r="F66" s="46">
        <f t="shared" si="25"/>
        <v>-2282.8352302125813</v>
      </c>
      <c r="G66" s="47">
        <f t="shared" si="26"/>
        <v>-1268.2417945625452</v>
      </c>
      <c r="H66" s="47">
        <f t="shared" si="27"/>
        <v>-1521.8901534750544</v>
      </c>
      <c r="I66" s="46">
        <f t="shared" si="28"/>
        <v>-5707.0880755314538</v>
      </c>
      <c r="J66" s="47">
        <f t="shared" si="30"/>
        <v>-14280</v>
      </c>
      <c r="K66" s="47">
        <f t="shared" si="31"/>
        <v>-10375.572118738459</v>
      </c>
      <c r="L66" s="47">
        <f t="shared" si="32"/>
        <v>-6887.174909937241</v>
      </c>
      <c r="M66" s="47">
        <f t="shared" si="33"/>
        <v>43810.47449179407</v>
      </c>
      <c r="N66" s="47">
        <f t="shared" si="34"/>
        <v>33881.959359052147</v>
      </c>
      <c r="O66" s="34"/>
      <c r="P66" s="35"/>
      <c r="Q66" s="35"/>
      <c r="R66" s="33"/>
      <c r="S66" s="43"/>
      <c r="T66" s="19"/>
      <c r="U66" s="27">
        <f t="shared" si="35"/>
        <v>43810.47449179407</v>
      </c>
      <c r="V66" s="28">
        <f t="shared" si="35"/>
        <v>33881.959359052147</v>
      </c>
    </row>
    <row r="67" spans="1:22" hidden="1" outlineLevel="1" x14ac:dyDescent="0.25">
      <c r="A67" s="18"/>
      <c r="B67" s="38">
        <f t="shared" si="36"/>
        <v>14</v>
      </c>
      <c r="C67" s="54">
        <f t="shared" si="29"/>
        <v>139.81834966450222</v>
      </c>
      <c r="D67" s="33">
        <f>C67*VLOOKUP($A$54,Ταρίφες!$A$6:$G$23,$K$6,FALSE)*(1+$F$3)^(B67-1)</f>
        <v>64316.440845671023</v>
      </c>
      <c r="E67" s="33">
        <f>C67*VLOOKUP($A$54,Ταρίφες!$A$6:$G$23,$K$7,FALSE)*(1+$F$3)^(B67-1)</f>
        <v>51033.697627543312</v>
      </c>
      <c r="F67" s="46">
        <f t="shared" si="25"/>
        <v>-2328.4919348168328</v>
      </c>
      <c r="G67" s="47">
        <f t="shared" si="26"/>
        <v>-1293.606630453796</v>
      </c>
      <c r="H67" s="47">
        <f t="shared" si="27"/>
        <v>-1552.3279565445553</v>
      </c>
      <c r="I67" s="46">
        <f t="shared" si="28"/>
        <v>-5821.2298370420822</v>
      </c>
      <c r="J67" s="47">
        <f t="shared" si="30"/>
        <v>-14280</v>
      </c>
      <c r="K67" s="47">
        <f t="shared" si="31"/>
        <v>-10150.603966571576</v>
      </c>
      <c r="L67" s="47">
        <f t="shared" si="32"/>
        <v>-6697.0907298583716</v>
      </c>
      <c r="M67" s="47">
        <f t="shared" si="33"/>
        <v>43170.180520242182</v>
      </c>
      <c r="N67" s="47">
        <f t="shared" si="34"/>
        <v>33340.950538827674</v>
      </c>
      <c r="O67" s="34"/>
      <c r="P67" s="35"/>
      <c r="Q67" s="35"/>
      <c r="R67" s="33"/>
      <c r="S67" s="43"/>
      <c r="T67" s="19"/>
      <c r="U67" s="27">
        <f t="shared" si="35"/>
        <v>43170.180520242182</v>
      </c>
      <c r="V67" s="28">
        <f t="shared" si="35"/>
        <v>33340.950538827674</v>
      </c>
    </row>
    <row r="68" spans="1:22" hidden="1" outlineLevel="1" x14ac:dyDescent="0.25">
      <c r="A68" s="18"/>
      <c r="B68" s="38">
        <f t="shared" si="36"/>
        <v>15</v>
      </c>
      <c r="C68" s="54">
        <f t="shared" si="29"/>
        <v>138.42016616785719</v>
      </c>
      <c r="D68" s="33">
        <f>C68*VLOOKUP($A$54,Ταρίφες!$A$6:$G$23,$K$6,FALSE)*(1+$F$3)^(B68-1)</f>
        <v>63673.276437214306</v>
      </c>
      <c r="E68" s="33">
        <f>C68*VLOOKUP($A$54,Ταρίφες!$A$6:$G$23,$K$7,FALSE)*(1+$F$3)^(B68-1)</f>
        <v>50523.360651267874</v>
      </c>
      <c r="F68" s="46">
        <f t="shared" si="25"/>
        <v>-2375.06177351317</v>
      </c>
      <c r="G68" s="47">
        <f t="shared" si="26"/>
        <v>-1319.4787630628721</v>
      </c>
      <c r="H68" s="47">
        <f t="shared" si="27"/>
        <v>-1583.3745156754467</v>
      </c>
      <c r="I68" s="46">
        <f t="shared" si="28"/>
        <v>-5937.6544337829246</v>
      </c>
      <c r="J68" s="47">
        <f t="shared" si="30"/>
        <v>-14280</v>
      </c>
      <c r="K68" s="47">
        <f t="shared" si="31"/>
        <v>-9926.2038073067724</v>
      </c>
      <c r="L68" s="47">
        <f t="shared" si="32"/>
        <v>-6507.2257029607008</v>
      </c>
      <c r="M68" s="47">
        <f t="shared" si="33"/>
        <v>42531.503143873117</v>
      </c>
      <c r="N68" s="47">
        <f t="shared" si="34"/>
        <v>32800.56546227276</v>
      </c>
      <c r="O68" s="34"/>
      <c r="P68" s="35"/>
      <c r="Q68" s="35"/>
      <c r="R68" s="33"/>
      <c r="S68" s="43"/>
      <c r="T68" s="19"/>
      <c r="U68" s="27">
        <f t="shared" si="35"/>
        <v>42531.503143873117</v>
      </c>
      <c r="V68" s="28">
        <f t="shared" si="35"/>
        <v>32800.56546227276</v>
      </c>
    </row>
    <row r="69" spans="1:22" hidden="1" outlineLevel="1" x14ac:dyDescent="0.25">
      <c r="A69" s="18"/>
      <c r="B69" s="38">
        <f t="shared" si="36"/>
        <v>16</v>
      </c>
      <c r="C69" s="54">
        <f t="shared" si="29"/>
        <v>137.03596450617863</v>
      </c>
      <c r="D69" s="33">
        <f>C69*VLOOKUP($A$54,Ταρίφες!$A$6:$G$23,$K$6,FALSE)*(1+$F$3)^(B69-1)</f>
        <v>63036.54367284217</v>
      </c>
      <c r="E69" s="33">
        <f>C69*VLOOKUP($A$54,Ταρίφες!$A$6:$G$23,$K$7,FALSE)*(1+$F$3)^(B69-1)</f>
        <v>50018.127044755201</v>
      </c>
      <c r="F69" s="46">
        <f t="shared" si="25"/>
        <v>-2422.5630089834326</v>
      </c>
      <c r="G69" s="47">
        <f t="shared" si="26"/>
        <v>-1345.8683383241291</v>
      </c>
      <c r="H69" s="47">
        <f t="shared" si="27"/>
        <v>-1615.042005988955</v>
      </c>
      <c r="I69" s="46">
        <f t="shared" si="28"/>
        <v>-6056.4075224585813</v>
      </c>
      <c r="J69" s="47">
        <f t="shared" si="30"/>
        <v>-14280</v>
      </c>
      <c r="K69" s="47">
        <f t="shared" si="31"/>
        <v>-9702.3323272426405</v>
      </c>
      <c r="L69" s="47">
        <f t="shared" si="32"/>
        <v>-6317.5440039400273</v>
      </c>
      <c r="M69" s="47">
        <f t="shared" si="33"/>
        <v>41894.330469844434</v>
      </c>
      <c r="N69" s="47">
        <f t="shared" si="34"/>
        <v>32260.70216506008</v>
      </c>
      <c r="O69" s="34"/>
      <c r="P69" s="35"/>
      <c r="Q69" s="35"/>
      <c r="R69" s="33"/>
      <c r="S69" s="43"/>
      <c r="T69" s="19"/>
      <c r="U69" s="27">
        <f t="shared" si="35"/>
        <v>41894.330469844434</v>
      </c>
      <c r="V69" s="28">
        <f t="shared" si="35"/>
        <v>32260.70216506008</v>
      </c>
    </row>
    <row r="70" spans="1:22" hidden="1" outlineLevel="1" x14ac:dyDescent="0.25">
      <c r="A70" s="18"/>
      <c r="B70" s="38">
        <f t="shared" si="36"/>
        <v>17</v>
      </c>
      <c r="C70" s="54">
        <f t="shared" si="29"/>
        <v>135.66560486111683</v>
      </c>
      <c r="D70" s="33">
        <f>C70*VLOOKUP($A$54,Ταρίφες!$A$6:$G$23,$K$6,FALSE)*(1+$F$3)^(B70-1)</f>
        <v>62406.178236113745</v>
      </c>
      <c r="E70" s="33">
        <f>C70*VLOOKUP($A$54,Ταρίφες!$A$6:$G$23,$K$7,FALSE)*(1+$F$3)^(B70-1)</f>
        <v>49517.945774307642</v>
      </c>
      <c r="F70" s="46">
        <f t="shared" si="25"/>
        <v>-2471.0142691631017</v>
      </c>
      <c r="G70" s="47">
        <f t="shared" si="26"/>
        <v>-1372.7857050906121</v>
      </c>
      <c r="H70" s="47">
        <f t="shared" si="27"/>
        <v>-1647.3428461087344</v>
      </c>
      <c r="I70" s="46">
        <f t="shared" si="28"/>
        <v>-6177.5356729077539</v>
      </c>
      <c r="J70" s="47">
        <f t="shared" si="30"/>
        <v>-14280</v>
      </c>
      <c r="K70" s="47">
        <f t="shared" si="31"/>
        <v>-9478.9499331393217</v>
      </c>
      <c r="L70" s="47">
        <f t="shared" si="32"/>
        <v>-6128.0094930697342</v>
      </c>
      <c r="M70" s="47">
        <f t="shared" si="33"/>
        <v>41258.549809704222</v>
      </c>
      <c r="N70" s="47">
        <f t="shared" si="34"/>
        <v>31721.257787967701</v>
      </c>
      <c r="O70" s="34"/>
      <c r="P70" s="35"/>
      <c r="Q70" s="35"/>
      <c r="R70" s="33"/>
      <c r="S70" s="43"/>
      <c r="T70" s="19"/>
      <c r="U70" s="27">
        <f t="shared" si="35"/>
        <v>41258.549809704222</v>
      </c>
      <c r="V70" s="28">
        <f t="shared" si="35"/>
        <v>31721.257787967701</v>
      </c>
    </row>
    <row r="71" spans="1:22" hidden="1" outlineLevel="1" x14ac:dyDescent="0.25">
      <c r="A71" s="18"/>
      <c r="B71" s="38">
        <f t="shared" si="36"/>
        <v>18</v>
      </c>
      <c r="C71" s="54">
        <f t="shared" si="29"/>
        <v>134.30894881250566</v>
      </c>
      <c r="D71" s="33">
        <f>C71*VLOOKUP($A$54,Ταρίφες!$A$6:$G$23,$K$6,FALSE)*(1+$F$3)^(B71-1)</f>
        <v>61782.116453752606</v>
      </c>
      <c r="E71" s="33">
        <f>C71*VLOOKUP($A$54,Ταρίφες!$A$6:$G$23,$K$7,FALSE)*(1+$F$3)^(B71-1)</f>
        <v>49022.766316564564</v>
      </c>
      <c r="F71" s="46">
        <f t="shared" si="25"/>
        <v>-2520.4345545463639</v>
      </c>
      <c r="G71" s="47">
        <f t="shared" si="26"/>
        <v>-1400.2414191924245</v>
      </c>
      <c r="H71" s="47">
        <f t="shared" si="27"/>
        <v>-1680.2897030309093</v>
      </c>
      <c r="I71" s="46">
        <f t="shared" si="28"/>
        <v>-6301.0863863659097</v>
      </c>
      <c r="J71" s="47">
        <f t="shared" si="30"/>
        <v>-14280</v>
      </c>
      <c r="K71" s="47">
        <f t="shared" si="31"/>
        <v>-9256.016741560421</v>
      </c>
      <c r="L71" s="47">
        <f t="shared" si="32"/>
        <v>-5938.585705891529</v>
      </c>
      <c r="M71" s="47">
        <f t="shared" si="33"/>
        <v>40624.047649056578</v>
      </c>
      <c r="N71" s="47">
        <f t="shared" si="34"/>
        <v>31182.128547537432</v>
      </c>
      <c r="O71" s="34"/>
      <c r="P71" s="35"/>
      <c r="Q71" s="35"/>
      <c r="R71" s="33"/>
      <c r="S71" s="43"/>
      <c r="T71" s="19"/>
      <c r="U71" s="27">
        <f t="shared" si="35"/>
        <v>40624.047649056578</v>
      </c>
      <c r="V71" s="28">
        <f t="shared" si="35"/>
        <v>31182.128547537432</v>
      </c>
    </row>
    <row r="72" spans="1:22" hidden="1" outlineLevel="1" x14ac:dyDescent="0.25">
      <c r="A72" s="18"/>
      <c r="B72" s="38">
        <f t="shared" si="36"/>
        <v>19</v>
      </c>
      <c r="C72" s="54">
        <f t="shared" si="29"/>
        <v>132.9658593243806</v>
      </c>
      <c r="D72" s="33">
        <f>C72*VLOOKUP($A$54,Ταρίφες!$A$6:$G$23,$K$6,FALSE)*(1+$F$3)^(B72-1)</f>
        <v>61164.295289215079</v>
      </c>
      <c r="E72" s="33">
        <f>C72*VLOOKUP($A$54,Ταρίφες!$A$6:$G$23,$K$7,FALSE)*(1+$F$3)^(B72-1)</f>
        <v>48532.538653398922</v>
      </c>
      <c r="F72" s="46">
        <f t="shared" si="25"/>
        <v>-2570.8432456372907</v>
      </c>
      <c r="G72" s="47">
        <f t="shared" si="26"/>
        <v>-1428.2462475762727</v>
      </c>
      <c r="H72" s="47">
        <f t="shared" si="27"/>
        <v>-1713.8954970915272</v>
      </c>
      <c r="I72" s="46">
        <f t="shared" si="28"/>
        <v>-6427.1081140932274</v>
      </c>
      <c r="J72" s="47">
        <f t="shared" si="30"/>
        <v>-14280</v>
      </c>
      <c r="K72" s="47">
        <f t="shared" si="31"/>
        <v>-9033.4925680523593</v>
      </c>
      <c r="L72" s="47">
        <f t="shared" si="32"/>
        <v>-5749.2358427401568</v>
      </c>
      <c r="M72" s="47">
        <f t="shared" si="33"/>
        <v>39990.709616764405</v>
      </c>
      <c r="N72" s="47">
        <f t="shared" si="34"/>
        <v>30643.209706260452</v>
      </c>
      <c r="O72" s="34"/>
      <c r="P72" s="35"/>
      <c r="Q72" s="35"/>
      <c r="R72" s="33"/>
      <c r="S72" s="43"/>
      <c r="T72" s="19"/>
      <c r="U72" s="27">
        <f t="shared" si="35"/>
        <v>39990.709616764405</v>
      </c>
      <c r="V72" s="28">
        <f t="shared" si="35"/>
        <v>30643.209706260452</v>
      </c>
    </row>
    <row r="73" spans="1:22" hidden="1" outlineLevel="1" x14ac:dyDescent="0.25">
      <c r="A73" s="18"/>
      <c r="B73" s="38">
        <f t="shared" si="36"/>
        <v>20</v>
      </c>
      <c r="C73" s="54">
        <f t="shared" si="29"/>
        <v>131.6362007311368</v>
      </c>
      <c r="D73" s="33">
        <f>C73*VLOOKUP($A$54,Ταρίφες!$A$6:$G$23,$K$6,FALSE)*(1+$F$3)^(B73-1)</f>
        <v>60552.652336322928</v>
      </c>
      <c r="E73" s="33">
        <f>C73*VLOOKUP($A$54,Ταρίφες!$A$6:$G$23,$K$7,FALSE)*(1+$F$3)^(B73-1)</f>
        <v>48047.213266864928</v>
      </c>
      <c r="F73" s="46">
        <f t="shared" si="25"/>
        <v>-2622.2601105500366</v>
      </c>
      <c r="G73" s="47">
        <f t="shared" si="26"/>
        <v>-1456.8111725277981</v>
      </c>
      <c r="H73" s="47">
        <f t="shared" si="27"/>
        <v>-1748.1734070333578</v>
      </c>
      <c r="I73" s="46">
        <f t="shared" si="28"/>
        <v>-6555.6502763750914</v>
      </c>
      <c r="J73" s="47">
        <f t="shared" si="30"/>
        <v>-14280</v>
      </c>
      <c r="K73" s="47">
        <f t="shared" si="31"/>
        <v>-8811.3369161575283</v>
      </c>
      <c r="L73" s="47">
        <f t="shared" si="32"/>
        <v>-5559.922758098447</v>
      </c>
      <c r="M73" s="47">
        <f t="shared" si="33"/>
        <v>39358.420453679122</v>
      </c>
      <c r="N73" s="47">
        <f t="shared" si="34"/>
        <v>30104.395542280192</v>
      </c>
      <c r="O73" s="34"/>
      <c r="P73" s="35"/>
      <c r="Q73" s="35"/>
      <c r="R73" s="33"/>
      <c r="S73" s="43"/>
      <c r="T73" s="19"/>
      <c r="U73" s="27">
        <f>M73</f>
        <v>39358.420453679122</v>
      </c>
      <c r="V73" s="28">
        <f t="shared" ref="V73" si="37">N73</f>
        <v>30104.395542280192</v>
      </c>
    </row>
    <row r="74" spans="1:22" hidden="1" outlineLevel="1" x14ac:dyDescent="0.25">
      <c r="A74" s="40"/>
      <c r="B74" s="50"/>
      <c r="C74" s="56"/>
      <c r="D74" s="22"/>
      <c r="E74" s="22"/>
      <c r="F74" s="48"/>
      <c r="G74" s="51"/>
      <c r="H74" s="51"/>
      <c r="I74" s="48"/>
      <c r="J74" s="51"/>
      <c r="K74" s="51"/>
      <c r="L74" s="51"/>
      <c r="M74" s="51"/>
      <c r="N74" s="51"/>
      <c r="O74" s="17"/>
      <c r="P74" s="25"/>
      <c r="Q74" s="25"/>
      <c r="R74" s="22"/>
      <c r="S74" s="52"/>
      <c r="T74" s="44"/>
      <c r="U74" s="26">
        <f>O75</f>
        <v>-327000</v>
      </c>
      <c r="V74" s="26">
        <f>R75</f>
        <v>-240618.1640625</v>
      </c>
    </row>
    <row r="75" spans="1:22" collapsed="1" x14ac:dyDescent="0.25">
      <c r="A75" s="32" t="str">
        <f>Ταρίφες!A13</f>
        <v>Δ Τριμ. 2010</v>
      </c>
      <c r="B75" s="38">
        <f>1</f>
        <v>1</v>
      </c>
      <c r="C75" s="54">
        <f>$F$8*$K$2/1000</f>
        <v>159.33333333333331</v>
      </c>
      <c r="D75" s="33">
        <f>C75*VLOOKUP($A$75,Ταρίφες!$A$6:$G$23,$K$6,FALSE)*(1+$F$3)^(B75-1)</f>
        <v>73293.333333333328</v>
      </c>
      <c r="E75" s="33">
        <f>C75*VLOOKUP($A$75,Ταρίφες!$A$6:$G$23,$K$7,FALSE)*(1+$F$3)^(B75-1)</f>
        <v>54969.999999999993</v>
      </c>
      <c r="F75" s="46">
        <f t="shared" ref="F75:F94" si="38">-($K$5*(1+$F$4)^(B75-$B$12))</f>
        <v>-1800</v>
      </c>
      <c r="G75" s="47">
        <f t="shared" ref="G75:G94" si="39">-$K$2*10*(1+$F$4)^(B75-$B$12)</f>
        <v>-1000</v>
      </c>
      <c r="H75" s="47">
        <f t="shared" ref="H75:H94" si="40">-$K$4*(1+$F$4)^(B75-$B$12)</f>
        <v>-1200</v>
      </c>
      <c r="I75" s="46">
        <f t="shared" ref="I75:I94" si="41">-(4500*(1+$F$4)^(B75-$B$12))</f>
        <v>-4500</v>
      </c>
      <c r="J75" s="47">
        <f>$O$75*4%</f>
        <v>-13080</v>
      </c>
      <c r="K75" s="47">
        <f>-(D75+SUM(F75:J75))*$F$5</f>
        <v>-13445.466666666665</v>
      </c>
      <c r="L75" s="47">
        <f>-(E75+SUM(F75:J75))*$F$5</f>
        <v>-8681.3999999999978</v>
      </c>
      <c r="M75" s="47">
        <f>D75+SUM(F75:I75)+K75</f>
        <v>51347.866666666661</v>
      </c>
      <c r="N75" s="47">
        <f>E75+SUM(F75:I75)+L75</f>
        <v>37788.599999999991</v>
      </c>
      <c r="O75" s="35">
        <f>-VLOOKUP(A75,'Κόστος Κατασκευής'!$A$4:$Q$17,$K$8,FALSE)</f>
        <v>-327000</v>
      </c>
      <c r="P75" s="36">
        <f>$K$3</f>
        <v>120000</v>
      </c>
      <c r="Q75" s="36">
        <f>Q54*15/16</f>
        <v>-33618.1640625</v>
      </c>
      <c r="R75" s="37">
        <f>SUM(O75:Q75)</f>
        <v>-240618.1640625</v>
      </c>
      <c r="S75" s="42">
        <f>IRR(U74:U94)</f>
        <v>0.13375686746302917</v>
      </c>
      <c r="T75" s="42">
        <f>IRR(V74:V94)</f>
        <v>0.13250368115329181</v>
      </c>
      <c r="U75" s="27">
        <f>M75</f>
        <v>51347.866666666661</v>
      </c>
      <c r="V75" s="28">
        <f>N75</f>
        <v>37788.599999999991</v>
      </c>
    </row>
    <row r="76" spans="1:22" hidden="1" outlineLevel="1" x14ac:dyDescent="0.25">
      <c r="A76" s="18"/>
      <c r="B76" s="38">
        <f>B75+1</f>
        <v>2</v>
      </c>
      <c r="C76" s="54">
        <f t="shared" ref="C76:C93" si="42">C75*(1-$F$2)</f>
        <v>157.73999999999998</v>
      </c>
      <c r="D76" s="33">
        <f>C76*VLOOKUP($A$75,Ταρίφες!$A$6:$G$23,$K$6,FALSE)*(1+$F$3)^(B76-1)</f>
        <v>72560.399999999994</v>
      </c>
      <c r="E76" s="33">
        <f>C76*VLOOKUP($A$75,Ταρίφες!$A$6:$G$23,$K$7,FALSE)*(1+$F$3)^(B76-1)</f>
        <v>54420.299999999996</v>
      </c>
      <c r="F76" s="46">
        <f t="shared" si="38"/>
        <v>-1836</v>
      </c>
      <c r="G76" s="47">
        <f t="shared" si="39"/>
        <v>-1020</v>
      </c>
      <c r="H76" s="47">
        <f t="shared" si="40"/>
        <v>-1224</v>
      </c>
      <c r="I76" s="46">
        <f t="shared" si="41"/>
        <v>-4590</v>
      </c>
      <c r="J76" s="47">
        <f t="shared" ref="J76:J94" si="43">$O$75*4%</f>
        <v>-13080</v>
      </c>
      <c r="K76" s="47">
        <f t="shared" ref="K76:K94" si="44">-(D76+SUM(F76:J76))*$F$5</f>
        <v>-13210.704</v>
      </c>
      <c r="L76" s="47">
        <f t="shared" ref="L76:L94" si="45">-(E76+SUM(F76:J76))*$F$5</f>
        <v>-8494.2779999999984</v>
      </c>
      <c r="M76" s="47">
        <f t="shared" ref="M76:M94" si="46">D76+SUM(F76:I76)+K76</f>
        <v>50679.695999999996</v>
      </c>
      <c r="N76" s="47">
        <f t="shared" ref="N76:N94" si="47">E76+SUM(F76:I76)+L76</f>
        <v>37256.021999999997</v>
      </c>
      <c r="O76" s="34"/>
      <c r="P76" s="35"/>
      <c r="Q76" s="35"/>
      <c r="R76" s="33"/>
      <c r="S76" s="43"/>
      <c r="T76" s="19"/>
      <c r="U76" s="27">
        <f t="shared" ref="U76:V93" si="48">M76</f>
        <v>50679.695999999996</v>
      </c>
      <c r="V76" s="28">
        <f t="shared" si="48"/>
        <v>37256.021999999997</v>
      </c>
    </row>
    <row r="77" spans="1:22" hidden="1" outlineLevel="1" x14ac:dyDescent="0.25">
      <c r="A77" s="18"/>
      <c r="B77" s="38">
        <f t="shared" ref="B77:B93" si="49">B76+1</f>
        <v>3</v>
      </c>
      <c r="C77" s="54">
        <f t="shared" si="42"/>
        <v>156.16259999999997</v>
      </c>
      <c r="D77" s="33">
        <f>C77*VLOOKUP($A$75,Ταρίφες!$A$6:$G$23,$K$6,FALSE)*(1+$F$3)^(B77-1)</f>
        <v>71834.795999999988</v>
      </c>
      <c r="E77" s="33">
        <f>C77*VLOOKUP($A$75,Ταρίφες!$A$6:$G$23,$K$7,FALSE)*(1+$F$3)^(B77-1)</f>
        <v>53876.096999999987</v>
      </c>
      <c r="F77" s="46">
        <f t="shared" si="38"/>
        <v>-1872.72</v>
      </c>
      <c r="G77" s="47">
        <f t="shared" si="39"/>
        <v>-1040.4000000000001</v>
      </c>
      <c r="H77" s="47">
        <f t="shared" si="40"/>
        <v>-1248.48</v>
      </c>
      <c r="I77" s="46">
        <f t="shared" si="41"/>
        <v>-4681.8</v>
      </c>
      <c r="J77" s="47">
        <f t="shared" si="43"/>
        <v>-13080</v>
      </c>
      <c r="K77" s="47">
        <f t="shared" si="44"/>
        <v>-12976.962959999997</v>
      </c>
      <c r="L77" s="47">
        <f t="shared" si="45"/>
        <v>-8307.7012199999972</v>
      </c>
      <c r="M77" s="47">
        <f t="shared" si="46"/>
        <v>50014.433039999989</v>
      </c>
      <c r="N77" s="47">
        <f t="shared" si="47"/>
        <v>36724.99577999999</v>
      </c>
      <c r="O77" s="34"/>
      <c r="P77" s="35"/>
      <c r="Q77" s="35"/>
      <c r="R77" s="33"/>
      <c r="S77" s="43"/>
      <c r="T77" s="19"/>
      <c r="U77" s="27">
        <f t="shared" si="48"/>
        <v>50014.433039999989</v>
      </c>
      <c r="V77" s="28">
        <f t="shared" si="48"/>
        <v>36724.99577999999</v>
      </c>
    </row>
    <row r="78" spans="1:22" hidden="1" outlineLevel="1" x14ac:dyDescent="0.25">
      <c r="A78" s="18"/>
      <c r="B78" s="38">
        <f t="shared" si="49"/>
        <v>4</v>
      </c>
      <c r="C78" s="54">
        <f t="shared" si="42"/>
        <v>154.60097399999998</v>
      </c>
      <c r="D78" s="33">
        <f>C78*VLOOKUP($A$75,Ταρίφες!$A$6:$G$23,$K$6,FALSE)*(1+$F$3)^(B78-1)</f>
        <v>71116.448039999988</v>
      </c>
      <c r="E78" s="33">
        <f>C78*VLOOKUP($A$75,Ταρίφες!$A$6:$G$23,$K$7,FALSE)*(1+$F$3)^(B78-1)</f>
        <v>53337.336029999991</v>
      </c>
      <c r="F78" s="46">
        <f t="shared" si="38"/>
        <v>-1910.1743999999999</v>
      </c>
      <c r="G78" s="47">
        <f t="shared" si="39"/>
        <v>-1061.2079999999999</v>
      </c>
      <c r="H78" s="47">
        <f t="shared" si="40"/>
        <v>-1273.4495999999999</v>
      </c>
      <c r="I78" s="46">
        <f t="shared" si="41"/>
        <v>-4775.4359999999997</v>
      </c>
      <c r="J78" s="47">
        <f t="shared" si="43"/>
        <v>-13080</v>
      </c>
      <c r="K78" s="47">
        <f t="shared" si="44"/>
        <v>-12744.206810399999</v>
      </c>
      <c r="L78" s="47">
        <f t="shared" si="45"/>
        <v>-8121.6376877999983</v>
      </c>
      <c r="M78" s="47">
        <f t="shared" si="46"/>
        <v>49351.973229599993</v>
      </c>
      <c r="N78" s="47">
        <f t="shared" si="47"/>
        <v>36195.430342199994</v>
      </c>
      <c r="O78" s="34"/>
      <c r="P78" s="35"/>
      <c r="Q78" s="35"/>
      <c r="R78" s="33"/>
      <c r="S78" s="43"/>
      <c r="T78" s="19"/>
      <c r="U78" s="27">
        <f t="shared" si="48"/>
        <v>49351.973229599993</v>
      </c>
      <c r="V78" s="28">
        <f t="shared" si="48"/>
        <v>36195.430342199994</v>
      </c>
    </row>
    <row r="79" spans="1:22" hidden="1" outlineLevel="1" x14ac:dyDescent="0.25">
      <c r="A79" s="18"/>
      <c r="B79" s="38">
        <f t="shared" si="49"/>
        <v>5</v>
      </c>
      <c r="C79" s="54">
        <f t="shared" si="42"/>
        <v>153.05496425999999</v>
      </c>
      <c r="D79" s="33">
        <f>C79*VLOOKUP($A$75,Ταρίφες!$A$6:$G$23,$K$6,FALSE)*(1+$F$3)^(B79-1)</f>
        <v>70405.283559599993</v>
      </c>
      <c r="E79" s="33">
        <f>C79*VLOOKUP($A$75,Ταρίφες!$A$6:$G$23,$K$7,FALSE)*(1+$F$3)^(B79-1)</f>
        <v>52803.962669699999</v>
      </c>
      <c r="F79" s="46">
        <f t="shared" si="38"/>
        <v>-1948.377888</v>
      </c>
      <c r="G79" s="47">
        <f t="shared" si="39"/>
        <v>-1082.4321600000001</v>
      </c>
      <c r="H79" s="47">
        <f t="shared" si="40"/>
        <v>-1298.918592</v>
      </c>
      <c r="I79" s="46">
        <f t="shared" si="41"/>
        <v>-4870.9447199999995</v>
      </c>
      <c r="J79" s="47">
        <f t="shared" si="43"/>
        <v>-13080</v>
      </c>
      <c r="K79" s="47">
        <f t="shared" si="44"/>
        <v>-12512.398651895999</v>
      </c>
      <c r="L79" s="47">
        <f t="shared" si="45"/>
        <v>-7936.0552205220001</v>
      </c>
      <c r="M79" s="47">
        <f t="shared" si="46"/>
        <v>48692.211547703992</v>
      </c>
      <c r="N79" s="47">
        <f t="shared" si="47"/>
        <v>35667.234089177997</v>
      </c>
      <c r="O79" s="34"/>
      <c r="P79" s="35"/>
      <c r="Q79" s="35"/>
      <c r="R79" s="33"/>
      <c r="S79" s="43"/>
      <c r="T79" s="19"/>
      <c r="U79" s="27">
        <f t="shared" si="48"/>
        <v>48692.211547703992</v>
      </c>
      <c r="V79" s="28">
        <f t="shared" si="48"/>
        <v>35667.234089177997</v>
      </c>
    </row>
    <row r="80" spans="1:22" hidden="1" outlineLevel="1" x14ac:dyDescent="0.25">
      <c r="A80" s="18"/>
      <c r="B80" s="38">
        <f t="shared" si="49"/>
        <v>6</v>
      </c>
      <c r="C80" s="54">
        <f t="shared" si="42"/>
        <v>151.5244146174</v>
      </c>
      <c r="D80" s="33">
        <f>C80*VLOOKUP($A$75,Ταρίφες!$A$6:$G$23,$K$6,FALSE)*(1+$F$3)^(B80-1)</f>
        <v>69701.230724003995</v>
      </c>
      <c r="E80" s="33">
        <f>C80*VLOOKUP($A$75,Ταρίφες!$A$6:$G$23,$K$7,FALSE)*(1+$F$3)^(B80-1)</f>
        <v>52275.923043003</v>
      </c>
      <c r="F80" s="46">
        <f t="shared" si="38"/>
        <v>-1987.3454457600001</v>
      </c>
      <c r="G80" s="47">
        <f t="shared" si="39"/>
        <v>-1104.0808032</v>
      </c>
      <c r="H80" s="47">
        <f t="shared" si="40"/>
        <v>-1324.8969638400001</v>
      </c>
      <c r="I80" s="46">
        <f t="shared" si="41"/>
        <v>-4968.3636144000002</v>
      </c>
      <c r="J80" s="47">
        <f t="shared" si="43"/>
        <v>-13080</v>
      </c>
      <c r="K80" s="47">
        <f t="shared" si="44"/>
        <v>-12281.501413169039</v>
      </c>
      <c r="L80" s="47">
        <f t="shared" si="45"/>
        <v>-7750.9214161087802</v>
      </c>
      <c r="M80" s="47">
        <f t="shared" si="46"/>
        <v>48035.042483634956</v>
      </c>
      <c r="N80" s="47">
        <f t="shared" si="47"/>
        <v>35140.314799694221</v>
      </c>
      <c r="O80" s="34"/>
      <c r="P80" s="35"/>
      <c r="Q80" s="35"/>
      <c r="R80" s="33"/>
      <c r="S80" s="43"/>
      <c r="T80" s="19"/>
      <c r="U80" s="27">
        <f t="shared" si="48"/>
        <v>48035.042483634956</v>
      </c>
      <c r="V80" s="28">
        <f t="shared" si="48"/>
        <v>35140.314799694221</v>
      </c>
    </row>
    <row r="81" spans="1:22" hidden="1" outlineLevel="1" x14ac:dyDescent="0.25">
      <c r="A81" s="18"/>
      <c r="B81" s="38">
        <f t="shared" si="49"/>
        <v>7</v>
      </c>
      <c r="C81" s="54">
        <f t="shared" si="42"/>
        <v>150.00917047122599</v>
      </c>
      <c r="D81" s="33">
        <f>C81*VLOOKUP($A$75,Ταρίφες!$A$6:$G$23,$K$6,FALSE)*(1+$F$3)^(B81-1)</f>
        <v>69004.21841676395</v>
      </c>
      <c r="E81" s="33">
        <f>C81*VLOOKUP($A$75,Ταρίφες!$A$6:$G$23,$K$7,FALSE)*(1+$F$3)^(B81-1)</f>
        <v>51753.163812572966</v>
      </c>
      <c r="F81" s="46">
        <f t="shared" si="38"/>
        <v>-2027.0923546752001</v>
      </c>
      <c r="G81" s="47">
        <f t="shared" si="39"/>
        <v>-1126.1624192640002</v>
      </c>
      <c r="H81" s="47">
        <f t="shared" si="40"/>
        <v>-1351.3949031168002</v>
      </c>
      <c r="I81" s="46">
        <f t="shared" si="41"/>
        <v>-5067.7308866880003</v>
      </c>
      <c r="J81" s="47">
        <f t="shared" si="43"/>
        <v>-13080</v>
      </c>
      <c r="K81" s="47">
        <f t="shared" si="44"/>
        <v>-12051.477841785187</v>
      </c>
      <c r="L81" s="47">
        <f t="shared" si="45"/>
        <v>-7566.2036446955308</v>
      </c>
      <c r="M81" s="47">
        <f t="shared" si="46"/>
        <v>47380.360011234763</v>
      </c>
      <c r="N81" s="47">
        <f t="shared" si="47"/>
        <v>34614.579604133432</v>
      </c>
      <c r="O81" s="34"/>
      <c r="P81" s="35"/>
      <c r="Q81" s="35"/>
      <c r="R81" s="33"/>
      <c r="S81" s="43"/>
      <c r="T81" s="19"/>
      <c r="U81" s="27">
        <f t="shared" si="48"/>
        <v>47380.360011234763</v>
      </c>
      <c r="V81" s="28">
        <f t="shared" si="48"/>
        <v>34614.579604133432</v>
      </c>
    </row>
    <row r="82" spans="1:22" hidden="1" outlineLevel="1" x14ac:dyDescent="0.25">
      <c r="A82" s="18"/>
      <c r="B82" s="38">
        <f t="shared" si="49"/>
        <v>8</v>
      </c>
      <c r="C82" s="54">
        <f t="shared" si="42"/>
        <v>148.50907876651374</v>
      </c>
      <c r="D82" s="33">
        <f>C82*VLOOKUP($A$75,Ταρίφες!$A$6:$G$23,$K$6,FALSE)*(1+$F$3)^(B82-1)</f>
        <v>68314.176232596321</v>
      </c>
      <c r="E82" s="33">
        <f>C82*VLOOKUP($A$75,Ταρίφες!$A$6:$G$23,$K$7,FALSE)*(1+$F$3)^(B82-1)</f>
        <v>51235.632174447237</v>
      </c>
      <c r="F82" s="46">
        <f t="shared" si="38"/>
        <v>-2067.6342017687039</v>
      </c>
      <c r="G82" s="47">
        <f t="shared" si="39"/>
        <v>-1148.6856676492798</v>
      </c>
      <c r="H82" s="47">
        <f t="shared" si="40"/>
        <v>-1378.4228011791358</v>
      </c>
      <c r="I82" s="46">
        <f t="shared" si="41"/>
        <v>-5169.0855044217587</v>
      </c>
      <c r="J82" s="47">
        <f t="shared" si="43"/>
        <v>-13080</v>
      </c>
      <c r="K82" s="47">
        <f t="shared" si="44"/>
        <v>-11822.290494970137</v>
      </c>
      <c r="L82" s="47">
        <f t="shared" si="45"/>
        <v>-7381.8690398513745</v>
      </c>
      <c r="M82" s="47">
        <f t="shared" si="46"/>
        <v>46728.057562607311</v>
      </c>
      <c r="N82" s="47">
        <f t="shared" si="47"/>
        <v>34089.934959576989</v>
      </c>
      <c r="O82" s="34"/>
      <c r="P82" s="35"/>
      <c r="Q82" s="35"/>
      <c r="R82" s="33"/>
      <c r="S82" s="43"/>
      <c r="T82" s="19"/>
      <c r="U82" s="27">
        <f t="shared" si="48"/>
        <v>46728.057562607311</v>
      </c>
      <c r="V82" s="28">
        <f t="shared" si="48"/>
        <v>34089.934959576989</v>
      </c>
    </row>
    <row r="83" spans="1:22" hidden="1" outlineLevel="1" x14ac:dyDescent="0.25">
      <c r="A83" s="18"/>
      <c r="B83" s="38">
        <f t="shared" si="49"/>
        <v>9</v>
      </c>
      <c r="C83" s="54">
        <f t="shared" si="42"/>
        <v>147.0239879788486</v>
      </c>
      <c r="D83" s="33">
        <f>C83*VLOOKUP($A$75,Ταρίφες!$A$6:$G$23,$K$6,FALSE)*(1+$F$3)^(B83-1)</f>
        <v>67631.034470270359</v>
      </c>
      <c r="E83" s="33">
        <f>C83*VLOOKUP($A$75,Ταρίφες!$A$6:$G$23,$K$7,FALSE)*(1+$F$3)^(B83-1)</f>
        <v>50723.275852702762</v>
      </c>
      <c r="F83" s="46">
        <f t="shared" si="38"/>
        <v>-2108.9868858040782</v>
      </c>
      <c r="G83" s="47">
        <f t="shared" si="39"/>
        <v>-1171.6593810022655</v>
      </c>
      <c r="H83" s="47">
        <f t="shared" si="40"/>
        <v>-1405.9912572027185</v>
      </c>
      <c r="I83" s="46">
        <f t="shared" si="41"/>
        <v>-5272.4672145101949</v>
      </c>
      <c r="J83" s="47">
        <f t="shared" si="43"/>
        <v>-13080</v>
      </c>
      <c r="K83" s="47">
        <f t="shared" si="44"/>
        <v>-11593.901730255287</v>
      </c>
      <c r="L83" s="47">
        <f t="shared" si="45"/>
        <v>-7197.8844896877117</v>
      </c>
      <c r="M83" s="47">
        <f t="shared" si="46"/>
        <v>46078.028001495812</v>
      </c>
      <c r="N83" s="47">
        <f t="shared" si="47"/>
        <v>33566.286624495791</v>
      </c>
      <c r="O83" s="34"/>
      <c r="P83" s="35"/>
      <c r="Q83" s="35"/>
      <c r="R83" s="33"/>
      <c r="S83" s="43"/>
      <c r="T83" s="19"/>
      <c r="U83" s="27">
        <f t="shared" si="48"/>
        <v>46078.028001495812</v>
      </c>
      <c r="V83" s="28">
        <f t="shared" si="48"/>
        <v>33566.286624495791</v>
      </c>
    </row>
    <row r="84" spans="1:22" hidden="1" outlineLevel="1" x14ac:dyDescent="0.25">
      <c r="A84" s="18"/>
      <c r="B84" s="38">
        <f t="shared" si="49"/>
        <v>10</v>
      </c>
      <c r="C84" s="54">
        <f t="shared" si="42"/>
        <v>145.5537480990601</v>
      </c>
      <c r="D84" s="33">
        <f>C84*VLOOKUP($A$75,Ταρίφες!$A$6:$G$23,$K$6,FALSE)*(1+$F$3)^(B84-1)</f>
        <v>66954.724125567649</v>
      </c>
      <c r="E84" s="33">
        <f>C84*VLOOKUP($A$75,Ταρίφες!$A$6:$G$23,$K$7,FALSE)*(1+$F$3)^(B84-1)</f>
        <v>50216.043094175737</v>
      </c>
      <c r="F84" s="46">
        <f t="shared" si="38"/>
        <v>-2151.1666235201596</v>
      </c>
      <c r="G84" s="47">
        <f t="shared" si="39"/>
        <v>-1195.0925686223109</v>
      </c>
      <c r="H84" s="47">
        <f t="shared" si="40"/>
        <v>-1434.1110823467729</v>
      </c>
      <c r="I84" s="46">
        <f t="shared" si="41"/>
        <v>-5377.9165588003989</v>
      </c>
      <c r="J84" s="47">
        <f t="shared" si="43"/>
        <v>-13080</v>
      </c>
      <c r="K84" s="47">
        <f t="shared" si="44"/>
        <v>-11366.27369599228</v>
      </c>
      <c r="L84" s="47">
        <f t="shared" si="45"/>
        <v>-7014.2166278303848</v>
      </c>
      <c r="M84" s="47">
        <f t="shared" si="46"/>
        <v>45430.163596285725</v>
      </c>
      <c r="N84" s="47">
        <f t="shared" si="47"/>
        <v>33043.539633055705</v>
      </c>
      <c r="O84" s="34"/>
      <c r="P84" s="35"/>
      <c r="Q84" s="35"/>
      <c r="R84" s="33"/>
      <c r="S84" s="43"/>
      <c r="T84" s="19"/>
      <c r="U84" s="27">
        <f t="shared" si="48"/>
        <v>45430.163596285725</v>
      </c>
      <c r="V84" s="28">
        <f t="shared" si="48"/>
        <v>33043.539633055705</v>
      </c>
    </row>
    <row r="85" spans="1:22" hidden="1" outlineLevel="1" x14ac:dyDescent="0.25">
      <c r="A85" s="18"/>
      <c r="B85" s="38">
        <f t="shared" si="49"/>
        <v>11</v>
      </c>
      <c r="C85" s="54">
        <f t="shared" si="42"/>
        <v>144.09821061806949</v>
      </c>
      <c r="D85" s="33">
        <f>C85*VLOOKUP($A$75,Ταρίφες!$A$6:$G$23,$K$6,FALSE)*(1+$F$3)^(B85-1)</f>
        <v>66285.176884311964</v>
      </c>
      <c r="E85" s="33">
        <f>C85*VLOOKUP($A$75,Ταρίφες!$A$6:$G$23,$K$7,FALSE)*(1+$F$3)^(B85-1)</f>
        <v>49713.88266323397</v>
      </c>
      <c r="F85" s="46">
        <f t="shared" si="38"/>
        <v>-2194.1899559905628</v>
      </c>
      <c r="G85" s="47">
        <f t="shared" si="39"/>
        <v>-1218.9944199947572</v>
      </c>
      <c r="H85" s="47">
        <f t="shared" si="40"/>
        <v>-1462.7933039937086</v>
      </c>
      <c r="I85" s="46">
        <f t="shared" si="41"/>
        <v>-5485.4748899764072</v>
      </c>
      <c r="J85" s="47">
        <f t="shared" si="43"/>
        <v>-13080</v>
      </c>
      <c r="K85" s="47">
        <f t="shared" si="44"/>
        <v>-11139.368321732698</v>
      </c>
      <c r="L85" s="47">
        <f t="shared" si="45"/>
        <v>-6830.8318242524192</v>
      </c>
      <c r="M85" s="47">
        <f t="shared" si="46"/>
        <v>44784.35599262383</v>
      </c>
      <c r="N85" s="47">
        <f t="shared" si="47"/>
        <v>32521.598269026115</v>
      </c>
      <c r="O85" s="34"/>
      <c r="P85" s="35"/>
      <c r="Q85" s="35"/>
      <c r="R85" s="33"/>
      <c r="S85" s="43"/>
      <c r="T85" s="19"/>
      <c r="U85" s="27">
        <f t="shared" si="48"/>
        <v>44784.35599262383</v>
      </c>
      <c r="V85" s="28">
        <f t="shared" si="48"/>
        <v>32521.598269026115</v>
      </c>
    </row>
    <row r="86" spans="1:22" hidden="1" outlineLevel="1" x14ac:dyDescent="0.25">
      <c r="A86" s="18"/>
      <c r="B86" s="38">
        <f t="shared" si="49"/>
        <v>12</v>
      </c>
      <c r="C86" s="54">
        <f t="shared" si="42"/>
        <v>142.6572285118888</v>
      </c>
      <c r="D86" s="33">
        <f>C86*VLOOKUP($A$75,Ταρίφες!$A$6:$G$23,$K$6,FALSE)*(1+$F$3)^(B86-1)</f>
        <v>65622.325115468848</v>
      </c>
      <c r="E86" s="33">
        <f>C86*VLOOKUP($A$75,Ταρίφες!$A$6:$G$23,$K$7,FALSE)*(1+$F$3)^(B86-1)</f>
        <v>49216.743836601636</v>
      </c>
      <c r="F86" s="46">
        <f t="shared" si="38"/>
        <v>-2238.0737551103734</v>
      </c>
      <c r="G86" s="47">
        <f t="shared" si="39"/>
        <v>-1243.374308394652</v>
      </c>
      <c r="H86" s="47">
        <f t="shared" si="40"/>
        <v>-1492.0491700735824</v>
      </c>
      <c r="I86" s="46">
        <f t="shared" si="41"/>
        <v>-5595.1843877759338</v>
      </c>
      <c r="J86" s="47">
        <f t="shared" si="43"/>
        <v>-13080</v>
      </c>
      <c r="K86" s="47">
        <f t="shared" si="44"/>
        <v>-10913.147308469721</v>
      </c>
      <c r="L86" s="47">
        <f t="shared" si="45"/>
        <v>-6647.6961759642445</v>
      </c>
      <c r="M86" s="47">
        <f t="shared" si="46"/>
        <v>44140.496185644588</v>
      </c>
      <c r="N86" s="47">
        <f t="shared" si="47"/>
        <v>32000.366039282846</v>
      </c>
      <c r="O86" s="34"/>
      <c r="P86" s="35"/>
      <c r="Q86" s="35"/>
      <c r="R86" s="33"/>
      <c r="S86" s="43"/>
      <c r="T86" s="19"/>
      <c r="U86" s="27">
        <f t="shared" si="48"/>
        <v>44140.496185644588</v>
      </c>
      <c r="V86" s="28">
        <f t="shared" si="48"/>
        <v>32000.366039282846</v>
      </c>
    </row>
    <row r="87" spans="1:22" hidden="1" outlineLevel="1" x14ac:dyDescent="0.25">
      <c r="A87" s="18"/>
      <c r="B87" s="38">
        <f t="shared" si="49"/>
        <v>13</v>
      </c>
      <c r="C87" s="54">
        <f t="shared" si="42"/>
        <v>141.23065622676992</v>
      </c>
      <c r="D87" s="33">
        <f>C87*VLOOKUP($A$75,Ταρίφες!$A$6:$G$23,$K$6,FALSE)*(1+$F$3)^(B87-1)</f>
        <v>64966.101864314165</v>
      </c>
      <c r="E87" s="33">
        <f>C87*VLOOKUP($A$75,Ταρίφες!$A$6:$G$23,$K$7,FALSE)*(1+$F$3)^(B87-1)</f>
        <v>48724.576398235622</v>
      </c>
      <c r="F87" s="46">
        <f t="shared" si="38"/>
        <v>-2282.8352302125813</v>
      </c>
      <c r="G87" s="47">
        <f t="shared" si="39"/>
        <v>-1268.2417945625452</v>
      </c>
      <c r="H87" s="47">
        <f t="shared" si="40"/>
        <v>-1521.8901534750544</v>
      </c>
      <c r="I87" s="46">
        <f t="shared" si="41"/>
        <v>-5707.0880755314538</v>
      </c>
      <c r="J87" s="47">
        <f t="shared" si="43"/>
        <v>-13080</v>
      </c>
      <c r="K87" s="47">
        <f t="shared" si="44"/>
        <v>-10687.572118738459</v>
      </c>
      <c r="L87" s="47">
        <f t="shared" si="45"/>
        <v>-6464.7754975580374</v>
      </c>
      <c r="M87" s="47">
        <f t="shared" si="46"/>
        <v>43498.47449179407</v>
      </c>
      <c r="N87" s="47">
        <f t="shared" si="47"/>
        <v>31479.74564689595</v>
      </c>
      <c r="O87" s="34"/>
      <c r="P87" s="35"/>
      <c r="Q87" s="35"/>
      <c r="R87" s="33"/>
      <c r="S87" s="43"/>
      <c r="T87" s="19"/>
      <c r="U87" s="27">
        <f t="shared" si="48"/>
        <v>43498.47449179407</v>
      </c>
      <c r="V87" s="28">
        <f t="shared" si="48"/>
        <v>31479.74564689595</v>
      </c>
    </row>
    <row r="88" spans="1:22" hidden="1" outlineLevel="1" x14ac:dyDescent="0.25">
      <c r="A88" s="18"/>
      <c r="B88" s="38">
        <f t="shared" si="49"/>
        <v>14</v>
      </c>
      <c r="C88" s="54">
        <f t="shared" si="42"/>
        <v>139.81834966450222</v>
      </c>
      <c r="D88" s="33">
        <f>C88*VLOOKUP($A$75,Ταρίφες!$A$6:$G$23,$K$6,FALSE)*(1+$F$3)^(B88-1)</f>
        <v>64316.440845671023</v>
      </c>
      <c r="E88" s="33">
        <f>C88*VLOOKUP($A$75,Ταρίφες!$A$6:$G$23,$K$7,FALSE)*(1+$F$3)^(B88-1)</f>
        <v>48237.330634253267</v>
      </c>
      <c r="F88" s="46">
        <f t="shared" si="38"/>
        <v>-2328.4919348168328</v>
      </c>
      <c r="G88" s="47">
        <f t="shared" si="39"/>
        <v>-1293.606630453796</v>
      </c>
      <c r="H88" s="47">
        <f t="shared" si="40"/>
        <v>-1552.3279565445553</v>
      </c>
      <c r="I88" s="46">
        <f t="shared" si="41"/>
        <v>-5821.2298370420822</v>
      </c>
      <c r="J88" s="47">
        <f t="shared" si="43"/>
        <v>-13080</v>
      </c>
      <c r="K88" s="47">
        <f t="shared" si="44"/>
        <v>-10462.603966571576</v>
      </c>
      <c r="L88" s="47">
        <f t="shared" si="45"/>
        <v>-6282.0353116029601</v>
      </c>
      <c r="M88" s="47">
        <f t="shared" si="46"/>
        <v>42858.180520242182</v>
      </c>
      <c r="N88" s="47">
        <f t="shared" si="47"/>
        <v>30959.638963793041</v>
      </c>
      <c r="O88" s="34"/>
      <c r="P88" s="35"/>
      <c r="Q88" s="35"/>
      <c r="R88" s="33"/>
      <c r="S88" s="43"/>
      <c r="T88" s="19"/>
      <c r="U88" s="27">
        <f t="shared" si="48"/>
        <v>42858.180520242182</v>
      </c>
      <c r="V88" s="28">
        <f t="shared" si="48"/>
        <v>30959.638963793041</v>
      </c>
    </row>
    <row r="89" spans="1:22" hidden="1" outlineLevel="1" x14ac:dyDescent="0.25">
      <c r="A89" s="18"/>
      <c r="B89" s="38">
        <f t="shared" si="49"/>
        <v>15</v>
      </c>
      <c r="C89" s="54">
        <f t="shared" si="42"/>
        <v>138.42016616785719</v>
      </c>
      <c r="D89" s="33">
        <f>C89*VLOOKUP($A$75,Ταρίφες!$A$6:$G$23,$K$6,FALSE)*(1+$F$3)^(B89-1)</f>
        <v>63673.276437214306</v>
      </c>
      <c r="E89" s="33">
        <f>C89*VLOOKUP($A$75,Ταρίφες!$A$6:$G$23,$K$7,FALSE)*(1+$F$3)^(B89-1)</f>
        <v>47754.957327910728</v>
      </c>
      <c r="F89" s="46">
        <f t="shared" si="38"/>
        <v>-2375.06177351317</v>
      </c>
      <c r="G89" s="47">
        <f t="shared" si="39"/>
        <v>-1319.4787630628721</v>
      </c>
      <c r="H89" s="47">
        <f t="shared" si="40"/>
        <v>-1583.3745156754467</v>
      </c>
      <c r="I89" s="46">
        <f t="shared" si="41"/>
        <v>-5937.6544337829246</v>
      </c>
      <c r="J89" s="47">
        <f t="shared" si="43"/>
        <v>-13080</v>
      </c>
      <c r="K89" s="47">
        <f t="shared" si="44"/>
        <v>-10238.203807306772</v>
      </c>
      <c r="L89" s="47">
        <f t="shared" si="45"/>
        <v>-6099.4408388878428</v>
      </c>
      <c r="M89" s="47">
        <f t="shared" si="46"/>
        <v>42219.503143873117</v>
      </c>
      <c r="N89" s="47">
        <f t="shared" si="47"/>
        <v>30439.947002988476</v>
      </c>
      <c r="O89" s="34"/>
      <c r="P89" s="35"/>
      <c r="Q89" s="35"/>
      <c r="R89" s="33"/>
      <c r="S89" s="43"/>
      <c r="T89" s="19"/>
      <c r="U89" s="27">
        <f t="shared" si="48"/>
        <v>42219.503143873117</v>
      </c>
      <c r="V89" s="28">
        <f t="shared" si="48"/>
        <v>30439.947002988476</v>
      </c>
    </row>
    <row r="90" spans="1:22" hidden="1" outlineLevel="1" x14ac:dyDescent="0.25">
      <c r="A90" s="18"/>
      <c r="B90" s="38">
        <f t="shared" si="49"/>
        <v>16</v>
      </c>
      <c r="C90" s="54">
        <f t="shared" si="42"/>
        <v>137.03596450617863</v>
      </c>
      <c r="D90" s="33">
        <f>C90*VLOOKUP($A$75,Ταρίφες!$A$6:$G$23,$K$6,FALSE)*(1+$F$3)^(B90-1)</f>
        <v>63036.54367284217</v>
      </c>
      <c r="E90" s="33">
        <f>C90*VLOOKUP($A$75,Ταρίφες!$A$6:$G$23,$K$7,FALSE)*(1+$F$3)^(B90-1)</f>
        <v>47277.407754631626</v>
      </c>
      <c r="F90" s="46">
        <f t="shared" si="38"/>
        <v>-2422.5630089834326</v>
      </c>
      <c r="G90" s="47">
        <f t="shared" si="39"/>
        <v>-1345.8683383241291</v>
      </c>
      <c r="H90" s="47">
        <f t="shared" si="40"/>
        <v>-1615.042005988955</v>
      </c>
      <c r="I90" s="46">
        <f t="shared" si="41"/>
        <v>-6056.4075224585813</v>
      </c>
      <c r="J90" s="47">
        <f t="shared" si="43"/>
        <v>-13080</v>
      </c>
      <c r="K90" s="47">
        <f t="shared" si="44"/>
        <v>-10014.332327242641</v>
      </c>
      <c r="L90" s="47">
        <f t="shared" si="45"/>
        <v>-5916.9569885078972</v>
      </c>
      <c r="M90" s="47">
        <f t="shared" si="46"/>
        <v>41582.330469844434</v>
      </c>
      <c r="N90" s="47">
        <f t="shared" si="47"/>
        <v>29920.569890368628</v>
      </c>
      <c r="O90" s="34"/>
      <c r="P90" s="35"/>
      <c r="Q90" s="35"/>
      <c r="R90" s="33"/>
      <c r="S90" s="43"/>
      <c r="T90" s="19"/>
      <c r="U90" s="27">
        <f t="shared" si="48"/>
        <v>41582.330469844434</v>
      </c>
      <c r="V90" s="28">
        <f t="shared" si="48"/>
        <v>29920.569890368628</v>
      </c>
    </row>
    <row r="91" spans="1:22" hidden="1" outlineLevel="1" x14ac:dyDescent="0.25">
      <c r="A91" s="18"/>
      <c r="B91" s="38">
        <f t="shared" si="49"/>
        <v>17</v>
      </c>
      <c r="C91" s="54">
        <f t="shared" si="42"/>
        <v>135.66560486111683</v>
      </c>
      <c r="D91" s="33">
        <f>C91*VLOOKUP($A$75,Ταρίφες!$A$6:$G$23,$K$6,FALSE)*(1+$F$3)^(B91-1)</f>
        <v>62406.178236113745</v>
      </c>
      <c r="E91" s="33">
        <f>C91*VLOOKUP($A$75,Ταρίφες!$A$6:$G$23,$K$7,FALSE)*(1+$F$3)^(B91-1)</f>
        <v>46804.633677085309</v>
      </c>
      <c r="F91" s="46">
        <f t="shared" si="38"/>
        <v>-2471.0142691631017</v>
      </c>
      <c r="G91" s="47">
        <f t="shared" si="39"/>
        <v>-1372.7857050906121</v>
      </c>
      <c r="H91" s="47">
        <f t="shared" si="40"/>
        <v>-1647.3428461087344</v>
      </c>
      <c r="I91" s="46">
        <f t="shared" si="41"/>
        <v>-6177.5356729077539</v>
      </c>
      <c r="J91" s="47">
        <f t="shared" si="43"/>
        <v>-13080</v>
      </c>
      <c r="K91" s="47">
        <f t="shared" si="44"/>
        <v>-9790.9499331393217</v>
      </c>
      <c r="L91" s="47">
        <f t="shared" si="45"/>
        <v>-5734.5483477919279</v>
      </c>
      <c r="M91" s="47">
        <f t="shared" si="46"/>
        <v>40946.549809704222</v>
      </c>
      <c r="N91" s="47">
        <f t="shared" si="47"/>
        <v>29401.406836023183</v>
      </c>
      <c r="O91" s="34"/>
      <c r="P91" s="35"/>
      <c r="Q91" s="35"/>
      <c r="R91" s="33"/>
      <c r="S91" s="43"/>
      <c r="T91" s="19"/>
      <c r="U91" s="27">
        <f t="shared" si="48"/>
        <v>40946.549809704222</v>
      </c>
      <c r="V91" s="28">
        <f t="shared" si="48"/>
        <v>29401.406836023183</v>
      </c>
    </row>
    <row r="92" spans="1:22" hidden="1" outlineLevel="1" x14ac:dyDescent="0.25">
      <c r="A92" s="18"/>
      <c r="B92" s="38">
        <f t="shared" si="49"/>
        <v>18</v>
      </c>
      <c r="C92" s="54">
        <f t="shared" si="42"/>
        <v>134.30894881250566</v>
      </c>
      <c r="D92" s="33">
        <f>C92*VLOOKUP($A$75,Ταρίφες!$A$6:$G$23,$K$6,FALSE)*(1+$F$3)^(B92-1)</f>
        <v>61782.116453752606</v>
      </c>
      <c r="E92" s="33">
        <f>C92*VLOOKUP($A$75,Ταρίφες!$A$6:$G$23,$K$7,FALSE)*(1+$F$3)^(B92-1)</f>
        <v>46336.587340314451</v>
      </c>
      <c r="F92" s="46">
        <f t="shared" si="38"/>
        <v>-2520.4345545463639</v>
      </c>
      <c r="G92" s="47">
        <f t="shared" si="39"/>
        <v>-1400.2414191924245</v>
      </c>
      <c r="H92" s="47">
        <f t="shared" si="40"/>
        <v>-1680.2897030309093</v>
      </c>
      <c r="I92" s="46">
        <f t="shared" si="41"/>
        <v>-6301.0863863659097</v>
      </c>
      <c r="J92" s="47">
        <f t="shared" si="43"/>
        <v>-13080</v>
      </c>
      <c r="K92" s="47">
        <f t="shared" si="44"/>
        <v>-9568.016741560421</v>
      </c>
      <c r="L92" s="47">
        <f t="shared" si="45"/>
        <v>-5552.1791720664987</v>
      </c>
      <c r="M92" s="47">
        <f t="shared" si="46"/>
        <v>40312.047649056578</v>
      </c>
      <c r="N92" s="47">
        <f t="shared" si="47"/>
        <v>28882.356105112347</v>
      </c>
      <c r="O92" s="34"/>
      <c r="P92" s="35"/>
      <c r="Q92" s="35"/>
      <c r="R92" s="33"/>
      <c r="S92" s="43"/>
      <c r="T92" s="19"/>
      <c r="U92" s="27">
        <f t="shared" si="48"/>
        <v>40312.047649056578</v>
      </c>
      <c r="V92" s="28">
        <f t="shared" si="48"/>
        <v>28882.356105112347</v>
      </c>
    </row>
    <row r="93" spans="1:22" hidden="1" outlineLevel="1" x14ac:dyDescent="0.25">
      <c r="A93" s="63"/>
      <c r="B93" s="62">
        <f t="shared" si="49"/>
        <v>19</v>
      </c>
      <c r="C93" s="64">
        <f t="shared" si="42"/>
        <v>132.9658593243806</v>
      </c>
      <c r="D93" s="33">
        <f>C93*VLOOKUP($A$75,Ταρίφες!$A$6:$G$23,$K$6,FALSE)*(1+$F$3)^(B93-1)</f>
        <v>61164.295289215079</v>
      </c>
      <c r="E93" s="33">
        <f>C93*VLOOKUP($A$75,Ταρίφες!$A$6:$G$23,$K$7,FALSE)*(1+$F$3)^(B93-1)</f>
        <v>45873.221466911309</v>
      </c>
      <c r="F93" s="66">
        <f t="shared" si="38"/>
        <v>-2570.8432456372907</v>
      </c>
      <c r="G93" s="67">
        <f t="shared" si="39"/>
        <v>-1428.2462475762727</v>
      </c>
      <c r="H93" s="67">
        <f t="shared" si="40"/>
        <v>-1713.8954970915272</v>
      </c>
      <c r="I93" s="66">
        <f t="shared" si="41"/>
        <v>-6427.1081140932274</v>
      </c>
      <c r="J93" s="67">
        <f t="shared" si="43"/>
        <v>-13080</v>
      </c>
      <c r="K93" s="67">
        <f t="shared" si="44"/>
        <v>-9345.4925680523593</v>
      </c>
      <c r="L93" s="67">
        <f t="shared" si="45"/>
        <v>-5369.8133742533782</v>
      </c>
      <c r="M93" s="67">
        <f t="shared" si="46"/>
        <v>39678.709616764405</v>
      </c>
      <c r="N93" s="67">
        <f t="shared" si="47"/>
        <v>28363.314988259608</v>
      </c>
      <c r="O93" s="68"/>
      <c r="P93" s="69"/>
      <c r="Q93" s="69"/>
      <c r="R93" s="65"/>
      <c r="S93" s="70"/>
      <c r="T93" s="71"/>
      <c r="U93" s="27">
        <f t="shared" si="48"/>
        <v>39678.709616764405</v>
      </c>
      <c r="V93" s="28">
        <f t="shared" si="48"/>
        <v>28363.314988259608</v>
      </c>
    </row>
    <row r="94" spans="1:22" s="40" customFormat="1" hidden="1" outlineLevel="1" x14ac:dyDescent="0.25">
      <c r="A94" s="18"/>
      <c r="B94" s="38">
        <v>20</v>
      </c>
      <c r="C94" s="54">
        <f>C92*(1-$F$2)</f>
        <v>132.9658593243806</v>
      </c>
      <c r="D94" s="33">
        <f>C94*VLOOKUP($A$75,Ταρίφες!$A$6:$G$23,$K$6,FALSE)*(1+$F$3)^(B94-1)</f>
        <v>61164.295289215079</v>
      </c>
      <c r="E94" s="33">
        <f>C94*VLOOKUP($A$75,Ταρίφες!$A$6:$G$23,$K$7,FALSE)*(1+$F$3)^(B94-1)</f>
        <v>45873.221466911309</v>
      </c>
      <c r="F94" s="46">
        <f t="shared" si="38"/>
        <v>-2622.2601105500366</v>
      </c>
      <c r="G94" s="47">
        <f t="shared" si="39"/>
        <v>-1456.8111725277981</v>
      </c>
      <c r="H94" s="47">
        <f t="shared" si="40"/>
        <v>-1748.1734070333578</v>
      </c>
      <c r="I94" s="46">
        <f t="shared" si="41"/>
        <v>-6555.6502763750914</v>
      </c>
      <c r="J94" s="47">
        <f t="shared" si="43"/>
        <v>-13080</v>
      </c>
      <c r="K94" s="47">
        <f t="shared" si="44"/>
        <v>-9282.364083909486</v>
      </c>
      <c r="L94" s="47">
        <f t="shared" si="45"/>
        <v>-5306.6848901105068</v>
      </c>
      <c r="M94" s="47">
        <f t="shared" si="46"/>
        <v>39499.036238819303</v>
      </c>
      <c r="N94" s="47">
        <f t="shared" si="47"/>
        <v>28183.64161031452</v>
      </c>
      <c r="O94" s="34"/>
      <c r="P94" s="35"/>
      <c r="Q94" s="35"/>
      <c r="R94" s="33"/>
      <c r="S94" s="43"/>
      <c r="T94" s="19"/>
      <c r="U94" s="72">
        <f>M94</f>
        <v>39499.036238819303</v>
      </c>
      <c r="V94" s="73">
        <f t="shared" ref="V94" si="50">N94</f>
        <v>28183.64161031452</v>
      </c>
    </row>
    <row r="95" spans="1:22" s="40" customFormat="1" hidden="1" outlineLevel="1" x14ac:dyDescent="0.25">
      <c r="B95" s="50"/>
      <c r="C95" s="56"/>
      <c r="D95" s="22"/>
      <c r="E95" s="22"/>
      <c r="F95" s="48"/>
      <c r="G95" s="51"/>
      <c r="H95" s="51"/>
      <c r="I95" s="48"/>
      <c r="J95" s="51"/>
      <c r="K95" s="51"/>
      <c r="L95" s="51"/>
      <c r="M95" s="51"/>
      <c r="N95" s="51"/>
      <c r="O95" s="17"/>
      <c r="P95" s="25"/>
      <c r="Q95" s="25"/>
      <c r="R95" s="22"/>
      <c r="S95" s="52"/>
      <c r="T95" s="44"/>
      <c r="U95" s="74">
        <f>O96</f>
        <v>-312000</v>
      </c>
      <c r="V95" s="74">
        <f>R96</f>
        <v>-223517.02880859375</v>
      </c>
    </row>
    <row r="96" spans="1:22" collapsed="1" x14ac:dyDescent="0.25">
      <c r="A96" s="32" t="str">
        <f>Ταρίφες!A14</f>
        <v>Α Τριμ. 2011</v>
      </c>
      <c r="B96" s="38">
        <f>1</f>
        <v>1</v>
      </c>
      <c r="C96" s="54">
        <f>$F$8*$K$2/1000</f>
        <v>159.33333333333331</v>
      </c>
      <c r="D96" s="33">
        <f>C96*VLOOKUP($A$96,Ταρίφες!$A$6:$G$23,$K$6,FALSE)*(1+$F$3)^(B96-1)</f>
        <v>73293.333333333328</v>
      </c>
      <c r="E96" s="33">
        <f>C96*VLOOKUP($A$96,Ταρίφες!$A$6:$G$23,$K$7,FALSE)*(1+$F$3)^(B96-1)</f>
        <v>53376.666666666657</v>
      </c>
      <c r="F96" s="46">
        <f t="shared" ref="F96:F115" si="51">-($K$5*(1+$F$4)^(B96-$B$12))</f>
        <v>-1800</v>
      </c>
      <c r="G96" s="47">
        <f t="shared" ref="G96:G115" si="52">-$K$2*10*(1+$F$4)^(B96-$B$12)</f>
        <v>-1000</v>
      </c>
      <c r="H96" s="47">
        <f t="shared" ref="H96:H114" si="53">-$K$4*(1+$F$4)^(B96-$B$12)</f>
        <v>-1200</v>
      </c>
      <c r="I96" s="46">
        <f t="shared" ref="I96:I114" si="54">-(4500*(1+$F$4)^(B96-$B$12))</f>
        <v>-4500</v>
      </c>
      <c r="J96" s="47">
        <f>$O$96*4%</f>
        <v>-12480</v>
      </c>
      <c r="K96" s="47">
        <f>-(D96+SUM(F96:J96))*$F$5</f>
        <v>-13601.466666666665</v>
      </c>
      <c r="L96" s="47">
        <f>-(E96+SUM(F96:J96))*$F$5</f>
        <v>-8423.1333333333314</v>
      </c>
      <c r="M96" s="47">
        <f>D96+SUM(F96:I96)+K96</f>
        <v>51191.866666666661</v>
      </c>
      <c r="N96" s="47">
        <f>E96+SUM(F96:I96)+L96</f>
        <v>36453.533333333326</v>
      </c>
      <c r="O96" s="35">
        <f>-VLOOKUP(A96,'Κόστος Κατασκευής'!$A$4:$Q$17,$K$8,FALSE)</f>
        <v>-312000</v>
      </c>
      <c r="P96" s="36">
        <f>$K$3</f>
        <v>120000</v>
      </c>
      <c r="Q96" s="36">
        <f>Q75*15/16</f>
        <v>-31517.02880859375</v>
      </c>
      <c r="R96" s="37">
        <f>SUM(O96:Q96)</f>
        <v>-223517.02880859375</v>
      </c>
      <c r="S96" s="42">
        <f>IRR(U95:U115)</f>
        <v>0.14163943499010023</v>
      </c>
      <c r="T96" s="42">
        <f>IRR(V95:V115)</f>
        <v>0.13907681103795033</v>
      </c>
      <c r="U96" s="27">
        <f>M96</f>
        <v>51191.866666666661</v>
      </c>
      <c r="V96" s="28">
        <f>N96</f>
        <v>36453.533333333326</v>
      </c>
    </row>
    <row r="97" spans="1:22" hidden="1" outlineLevel="1" x14ac:dyDescent="0.25">
      <c r="A97" s="18"/>
      <c r="B97" s="38">
        <f>B96+1</f>
        <v>2</v>
      </c>
      <c r="C97" s="54">
        <f t="shared" ref="C97:C114" si="55">C96*(1-$F$2)</f>
        <v>157.73999999999998</v>
      </c>
      <c r="D97" s="33">
        <f>C97*VLOOKUP($A$96,Ταρίφες!$A$6:$G$23,$K$6,FALSE)*(1+$F$3)^(B97-1)</f>
        <v>72560.399999999994</v>
      </c>
      <c r="E97" s="33">
        <f>C97*VLOOKUP($A$96,Ταρίφες!$A$6:$G$23,$K$7,FALSE)*(1+$F$3)^(B97-1)</f>
        <v>52842.899999999994</v>
      </c>
      <c r="F97" s="46">
        <f t="shared" si="51"/>
        <v>-1836</v>
      </c>
      <c r="G97" s="47">
        <f t="shared" si="52"/>
        <v>-1020</v>
      </c>
      <c r="H97" s="47">
        <f t="shared" si="53"/>
        <v>-1224</v>
      </c>
      <c r="I97" s="46">
        <f t="shared" si="54"/>
        <v>-4590</v>
      </c>
      <c r="J97" s="47">
        <f t="shared" ref="J97:J115" si="56">$O$96*4%</f>
        <v>-12480</v>
      </c>
      <c r="K97" s="47">
        <f t="shared" ref="K97:K114" si="57">-(D97+SUM(F97:J97))*$F$5</f>
        <v>-13366.704</v>
      </c>
      <c r="L97" s="47">
        <f t="shared" ref="L97:L114" si="58">-(E97+SUM(F97:J97))*$F$5</f>
        <v>-8240.1539999999986</v>
      </c>
      <c r="M97" s="47">
        <f t="shared" ref="M97:M114" si="59">D97+SUM(F97:I97)+K97</f>
        <v>50523.695999999996</v>
      </c>
      <c r="N97" s="47">
        <f t="shared" ref="N97:N114" si="60">E97+SUM(F97:I97)+L97</f>
        <v>35932.745999999999</v>
      </c>
      <c r="O97" s="34"/>
      <c r="P97" s="35"/>
      <c r="Q97" s="35"/>
      <c r="R97" s="33"/>
      <c r="S97" s="43"/>
      <c r="T97" s="19"/>
      <c r="U97" s="27">
        <f t="shared" ref="U97:V114" si="61">M97</f>
        <v>50523.695999999996</v>
      </c>
      <c r="V97" s="28">
        <f t="shared" si="61"/>
        <v>35932.745999999999</v>
      </c>
    </row>
    <row r="98" spans="1:22" hidden="1" outlineLevel="1" x14ac:dyDescent="0.25">
      <c r="A98" s="18"/>
      <c r="B98" s="38">
        <f t="shared" ref="B98:B114" si="62">B97+1</f>
        <v>3</v>
      </c>
      <c r="C98" s="54">
        <f t="shared" si="55"/>
        <v>156.16259999999997</v>
      </c>
      <c r="D98" s="33">
        <f>C98*VLOOKUP($A$96,Ταρίφες!$A$6:$G$23,$K$6,FALSE)*(1+$F$3)^(B98-1)</f>
        <v>71834.795999999988</v>
      </c>
      <c r="E98" s="33">
        <f>C98*VLOOKUP($A$96,Ταρίφες!$A$6:$G$23,$K$7,FALSE)*(1+$F$3)^(B98-1)</f>
        <v>52314.47099999999</v>
      </c>
      <c r="F98" s="46">
        <f t="shared" si="51"/>
        <v>-1872.72</v>
      </c>
      <c r="G98" s="47">
        <f t="shared" si="52"/>
        <v>-1040.4000000000001</v>
      </c>
      <c r="H98" s="47">
        <f t="shared" si="53"/>
        <v>-1248.48</v>
      </c>
      <c r="I98" s="46">
        <f t="shared" si="54"/>
        <v>-4681.8</v>
      </c>
      <c r="J98" s="47">
        <f t="shared" si="56"/>
        <v>-12480</v>
      </c>
      <c r="K98" s="47">
        <f t="shared" si="57"/>
        <v>-13132.962959999997</v>
      </c>
      <c r="L98" s="47">
        <f t="shared" si="58"/>
        <v>-8057.6784599999974</v>
      </c>
      <c r="M98" s="47">
        <f t="shared" si="59"/>
        <v>49858.433039999989</v>
      </c>
      <c r="N98" s="47">
        <f t="shared" si="60"/>
        <v>35413.392539999993</v>
      </c>
      <c r="O98" s="34"/>
      <c r="P98" s="35"/>
      <c r="Q98" s="35"/>
      <c r="R98" s="33"/>
      <c r="S98" s="43"/>
      <c r="T98" s="19"/>
      <c r="U98" s="27">
        <f t="shared" si="61"/>
        <v>49858.433039999989</v>
      </c>
      <c r="V98" s="28">
        <f t="shared" si="61"/>
        <v>35413.392539999993</v>
      </c>
    </row>
    <row r="99" spans="1:22" hidden="1" outlineLevel="1" x14ac:dyDescent="0.25">
      <c r="A99" s="18"/>
      <c r="B99" s="38">
        <f t="shared" si="62"/>
        <v>4</v>
      </c>
      <c r="C99" s="54">
        <f t="shared" si="55"/>
        <v>154.60097399999998</v>
      </c>
      <c r="D99" s="33">
        <f>C99*VLOOKUP($A$96,Ταρίφες!$A$6:$G$23,$K$6,FALSE)*(1+$F$3)^(B99-1)</f>
        <v>71116.448039999988</v>
      </c>
      <c r="E99" s="33">
        <f>C99*VLOOKUP($A$96,Ταρίφες!$A$6:$G$23,$K$7,FALSE)*(1+$F$3)^(B99-1)</f>
        <v>51791.32628999999</v>
      </c>
      <c r="F99" s="46">
        <f t="shared" si="51"/>
        <v>-1910.1743999999999</v>
      </c>
      <c r="G99" s="47">
        <f t="shared" si="52"/>
        <v>-1061.2079999999999</v>
      </c>
      <c r="H99" s="47">
        <f t="shared" si="53"/>
        <v>-1273.4495999999999</v>
      </c>
      <c r="I99" s="46">
        <f t="shared" si="54"/>
        <v>-4775.4359999999997</v>
      </c>
      <c r="J99" s="47">
        <f t="shared" si="56"/>
        <v>-12480</v>
      </c>
      <c r="K99" s="47">
        <f t="shared" si="57"/>
        <v>-12900.206810399999</v>
      </c>
      <c r="L99" s="47">
        <f t="shared" si="58"/>
        <v>-7875.6751553999975</v>
      </c>
      <c r="M99" s="47">
        <f t="shared" si="59"/>
        <v>49195.973229599993</v>
      </c>
      <c r="N99" s="47">
        <f t="shared" si="60"/>
        <v>34895.383134599986</v>
      </c>
      <c r="O99" s="34"/>
      <c r="P99" s="35"/>
      <c r="Q99" s="35"/>
      <c r="R99" s="33"/>
      <c r="S99" s="43"/>
      <c r="T99" s="19"/>
      <c r="U99" s="27">
        <f t="shared" si="61"/>
        <v>49195.973229599993</v>
      </c>
      <c r="V99" s="28">
        <f t="shared" si="61"/>
        <v>34895.383134599986</v>
      </c>
    </row>
    <row r="100" spans="1:22" hidden="1" outlineLevel="1" x14ac:dyDescent="0.25">
      <c r="A100" s="18"/>
      <c r="B100" s="38">
        <f t="shared" si="62"/>
        <v>5</v>
      </c>
      <c r="C100" s="54">
        <f t="shared" si="55"/>
        <v>153.05496425999999</v>
      </c>
      <c r="D100" s="33">
        <f>C100*VLOOKUP($A$96,Ταρίφες!$A$6:$G$23,$K$6,FALSE)*(1+$F$3)^(B100-1)</f>
        <v>70405.283559599993</v>
      </c>
      <c r="E100" s="33">
        <f>C100*VLOOKUP($A$96,Ταρίφες!$A$6:$G$23,$K$7,FALSE)*(1+$F$3)^(B100-1)</f>
        <v>51273.413027099996</v>
      </c>
      <c r="F100" s="46">
        <f t="shared" si="51"/>
        <v>-1948.377888</v>
      </c>
      <c r="G100" s="47">
        <f t="shared" si="52"/>
        <v>-1082.4321600000001</v>
      </c>
      <c r="H100" s="47">
        <f t="shared" si="53"/>
        <v>-1298.918592</v>
      </c>
      <c r="I100" s="46">
        <f t="shared" si="54"/>
        <v>-4870.9447199999995</v>
      </c>
      <c r="J100" s="47">
        <f t="shared" si="56"/>
        <v>-12480</v>
      </c>
      <c r="K100" s="47">
        <f t="shared" si="57"/>
        <v>-12668.398651895999</v>
      </c>
      <c r="L100" s="47">
        <f t="shared" si="58"/>
        <v>-7694.1123134459986</v>
      </c>
      <c r="M100" s="47">
        <f t="shared" si="59"/>
        <v>48536.211547703992</v>
      </c>
      <c r="N100" s="47">
        <f t="shared" si="60"/>
        <v>34378.627353653996</v>
      </c>
      <c r="O100" s="34"/>
      <c r="P100" s="35"/>
      <c r="Q100" s="35"/>
      <c r="R100" s="33"/>
      <c r="S100" s="43"/>
      <c r="T100" s="19"/>
      <c r="U100" s="27">
        <f t="shared" si="61"/>
        <v>48536.211547703992</v>
      </c>
      <c r="V100" s="28">
        <f t="shared" si="61"/>
        <v>34378.627353653996</v>
      </c>
    </row>
    <row r="101" spans="1:22" hidden="1" outlineLevel="1" x14ac:dyDescent="0.25">
      <c r="A101" s="18"/>
      <c r="B101" s="38">
        <f t="shared" si="62"/>
        <v>6</v>
      </c>
      <c r="C101" s="54">
        <f t="shared" si="55"/>
        <v>151.5244146174</v>
      </c>
      <c r="D101" s="33">
        <f>C101*VLOOKUP($A$96,Ταρίφες!$A$6:$G$23,$K$6,FALSE)*(1+$F$3)^(B101-1)</f>
        <v>69701.230724003995</v>
      </c>
      <c r="E101" s="33">
        <f>C101*VLOOKUP($A$96,Ταρίφες!$A$6:$G$23,$K$7,FALSE)*(1+$F$3)^(B101-1)</f>
        <v>50760.678896828998</v>
      </c>
      <c r="F101" s="46">
        <f t="shared" si="51"/>
        <v>-1987.3454457600001</v>
      </c>
      <c r="G101" s="47">
        <f t="shared" si="52"/>
        <v>-1104.0808032</v>
      </c>
      <c r="H101" s="47">
        <f t="shared" si="53"/>
        <v>-1324.8969638400001</v>
      </c>
      <c r="I101" s="46">
        <f t="shared" si="54"/>
        <v>-4968.3636144000002</v>
      </c>
      <c r="J101" s="47">
        <f t="shared" si="56"/>
        <v>-12480</v>
      </c>
      <c r="K101" s="47">
        <f t="shared" si="57"/>
        <v>-12437.501413169039</v>
      </c>
      <c r="L101" s="47">
        <f t="shared" si="58"/>
        <v>-7512.9579381035401</v>
      </c>
      <c r="M101" s="47">
        <f t="shared" si="59"/>
        <v>47879.042483634956</v>
      </c>
      <c r="N101" s="47">
        <f t="shared" si="60"/>
        <v>33863.034131525463</v>
      </c>
      <c r="O101" s="34"/>
      <c r="P101" s="35"/>
      <c r="Q101" s="35"/>
      <c r="R101" s="33"/>
      <c r="S101" s="43"/>
      <c r="T101" s="19"/>
      <c r="U101" s="27">
        <f t="shared" si="61"/>
        <v>47879.042483634956</v>
      </c>
      <c r="V101" s="28">
        <f t="shared" si="61"/>
        <v>33863.034131525463</v>
      </c>
    </row>
    <row r="102" spans="1:22" hidden="1" outlineLevel="1" x14ac:dyDescent="0.25">
      <c r="A102" s="18"/>
      <c r="B102" s="38">
        <f t="shared" si="62"/>
        <v>7</v>
      </c>
      <c r="C102" s="54">
        <f t="shared" si="55"/>
        <v>150.00917047122599</v>
      </c>
      <c r="D102" s="33">
        <f>C102*VLOOKUP($A$96,Ταρίφες!$A$6:$G$23,$K$6,FALSE)*(1+$F$3)^(B102-1)</f>
        <v>69004.21841676395</v>
      </c>
      <c r="E102" s="33">
        <f>C102*VLOOKUP($A$96,Ταρίφες!$A$6:$G$23,$K$7,FALSE)*(1+$F$3)^(B102-1)</f>
        <v>50253.072107860702</v>
      </c>
      <c r="F102" s="46">
        <f t="shared" si="51"/>
        <v>-2027.0923546752001</v>
      </c>
      <c r="G102" s="47">
        <f t="shared" si="52"/>
        <v>-1126.1624192640002</v>
      </c>
      <c r="H102" s="47">
        <f t="shared" si="53"/>
        <v>-1351.3949031168002</v>
      </c>
      <c r="I102" s="46">
        <f t="shared" si="54"/>
        <v>-5067.7308866880003</v>
      </c>
      <c r="J102" s="47">
        <f t="shared" si="56"/>
        <v>-12480</v>
      </c>
      <c r="K102" s="47">
        <f t="shared" si="57"/>
        <v>-12207.477841785187</v>
      </c>
      <c r="L102" s="47">
        <f t="shared" si="58"/>
        <v>-7332.1798014703427</v>
      </c>
      <c r="M102" s="47">
        <f t="shared" si="59"/>
        <v>47224.360011234763</v>
      </c>
      <c r="N102" s="47">
        <f t="shared" si="60"/>
        <v>33348.511742646355</v>
      </c>
      <c r="O102" s="34"/>
      <c r="P102" s="35"/>
      <c r="Q102" s="35"/>
      <c r="R102" s="33"/>
      <c r="S102" s="43"/>
      <c r="T102" s="19"/>
      <c r="U102" s="27">
        <f t="shared" si="61"/>
        <v>47224.360011234763</v>
      </c>
      <c r="V102" s="28">
        <f t="shared" si="61"/>
        <v>33348.511742646355</v>
      </c>
    </row>
    <row r="103" spans="1:22" hidden="1" outlineLevel="1" x14ac:dyDescent="0.25">
      <c r="A103" s="18"/>
      <c r="B103" s="38">
        <f t="shared" si="62"/>
        <v>8</v>
      </c>
      <c r="C103" s="54">
        <f t="shared" si="55"/>
        <v>148.50907876651374</v>
      </c>
      <c r="D103" s="33">
        <f>C103*VLOOKUP($A$96,Ταρίφες!$A$6:$G$23,$K$6,FALSE)*(1+$F$3)^(B103-1)</f>
        <v>68314.176232596321</v>
      </c>
      <c r="E103" s="33">
        <f>C103*VLOOKUP($A$96,Ταρίφες!$A$6:$G$23,$K$7,FALSE)*(1+$F$3)^(B103-1)</f>
        <v>49750.541386782104</v>
      </c>
      <c r="F103" s="46">
        <f t="shared" si="51"/>
        <v>-2067.6342017687039</v>
      </c>
      <c r="G103" s="47">
        <f t="shared" si="52"/>
        <v>-1148.6856676492798</v>
      </c>
      <c r="H103" s="47">
        <f t="shared" si="53"/>
        <v>-1378.4228011791358</v>
      </c>
      <c r="I103" s="46">
        <f t="shared" si="54"/>
        <v>-5169.0855044217587</v>
      </c>
      <c r="J103" s="47">
        <f t="shared" si="56"/>
        <v>-12480</v>
      </c>
      <c r="K103" s="47">
        <f t="shared" si="57"/>
        <v>-11978.290494970137</v>
      </c>
      <c r="L103" s="47">
        <f t="shared" si="58"/>
        <v>-7151.7454350584394</v>
      </c>
      <c r="M103" s="47">
        <f t="shared" si="59"/>
        <v>46572.057562607311</v>
      </c>
      <c r="N103" s="47">
        <f t="shared" si="60"/>
        <v>32834.967776704791</v>
      </c>
      <c r="O103" s="34"/>
      <c r="P103" s="35"/>
      <c r="Q103" s="35"/>
      <c r="R103" s="33"/>
      <c r="S103" s="43"/>
      <c r="T103" s="19"/>
      <c r="U103" s="27">
        <f t="shared" si="61"/>
        <v>46572.057562607311</v>
      </c>
      <c r="V103" s="28">
        <f t="shared" si="61"/>
        <v>32834.967776704791</v>
      </c>
    </row>
    <row r="104" spans="1:22" hidden="1" outlineLevel="1" x14ac:dyDescent="0.25">
      <c r="A104" s="18"/>
      <c r="B104" s="38">
        <f t="shared" si="62"/>
        <v>9</v>
      </c>
      <c r="C104" s="54">
        <f t="shared" si="55"/>
        <v>147.0239879788486</v>
      </c>
      <c r="D104" s="33">
        <f>C104*VLOOKUP($A$96,Ταρίφες!$A$6:$G$23,$K$6,FALSE)*(1+$F$3)^(B104-1)</f>
        <v>67631.034470270359</v>
      </c>
      <c r="E104" s="33">
        <f>C104*VLOOKUP($A$96,Ταρίφες!$A$6:$G$23,$K$7,FALSE)*(1+$F$3)^(B104-1)</f>
        <v>49253.03597291428</v>
      </c>
      <c r="F104" s="46">
        <f t="shared" si="51"/>
        <v>-2108.9868858040782</v>
      </c>
      <c r="G104" s="47">
        <f t="shared" si="52"/>
        <v>-1171.6593810022655</v>
      </c>
      <c r="H104" s="47">
        <f t="shared" si="53"/>
        <v>-1405.9912572027185</v>
      </c>
      <c r="I104" s="46">
        <f t="shared" si="54"/>
        <v>-5272.4672145101949</v>
      </c>
      <c r="J104" s="47">
        <f t="shared" si="56"/>
        <v>-12480</v>
      </c>
      <c r="K104" s="47">
        <f t="shared" si="57"/>
        <v>-11749.901730255287</v>
      </c>
      <c r="L104" s="47">
        <f t="shared" si="58"/>
        <v>-6971.6221209427058</v>
      </c>
      <c r="M104" s="47">
        <f t="shared" si="59"/>
        <v>45922.028001495812</v>
      </c>
      <c r="N104" s="47">
        <f t="shared" si="60"/>
        <v>32322.309113452317</v>
      </c>
      <c r="O104" s="34"/>
      <c r="P104" s="35"/>
      <c r="Q104" s="35"/>
      <c r="R104" s="33"/>
      <c r="S104" s="43"/>
      <c r="T104" s="19"/>
      <c r="U104" s="27">
        <f t="shared" si="61"/>
        <v>45922.028001495812</v>
      </c>
      <c r="V104" s="28">
        <f t="shared" si="61"/>
        <v>32322.309113452317</v>
      </c>
    </row>
    <row r="105" spans="1:22" hidden="1" outlineLevel="1" x14ac:dyDescent="0.25">
      <c r="A105" s="18"/>
      <c r="B105" s="38">
        <f t="shared" si="62"/>
        <v>10</v>
      </c>
      <c r="C105" s="54">
        <f t="shared" si="55"/>
        <v>145.5537480990601</v>
      </c>
      <c r="D105" s="33">
        <f>C105*VLOOKUP($A$96,Ταρίφες!$A$6:$G$23,$K$6,FALSE)*(1+$F$3)^(B105-1)</f>
        <v>66954.724125567649</v>
      </c>
      <c r="E105" s="33">
        <f>C105*VLOOKUP($A$96,Ταρίφες!$A$6:$G$23,$K$7,FALSE)*(1+$F$3)^(B105-1)</f>
        <v>48760.505613185131</v>
      </c>
      <c r="F105" s="46">
        <f t="shared" si="51"/>
        <v>-2151.1666235201596</v>
      </c>
      <c r="G105" s="47">
        <f t="shared" si="52"/>
        <v>-1195.0925686223109</v>
      </c>
      <c r="H105" s="47">
        <f t="shared" si="53"/>
        <v>-1434.1110823467729</v>
      </c>
      <c r="I105" s="46">
        <f t="shared" si="54"/>
        <v>-5377.9165588003989</v>
      </c>
      <c r="J105" s="47">
        <f t="shared" si="56"/>
        <v>-12480</v>
      </c>
      <c r="K105" s="47">
        <f t="shared" si="57"/>
        <v>-11522.27369599228</v>
      </c>
      <c r="L105" s="47">
        <f t="shared" si="58"/>
        <v>-6791.7768827728269</v>
      </c>
      <c r="M105" s="47">
        <f t="shared" si="59"/>
        <v>45274.163596285725</v>
      </c>
      <c r="N105" s="47">
        <f t="shared" si="60"/>
        <v>31810.441897122655</v>
      </c>
      <c r="O105" s="34"/>
      <c r="P105" s="35"/>
      <c r="Q105" s="35"/>
      <c r="R105" s="33"/>
      <c r="S105" s="43"/>
      <c r="T105" s="19"/>
      <c r="U105" s="27">
        <f t="shared" si="61"/>
        <v>45274.163596285725</v>
      </c>
      <c r="V105" s="28">
        <f t="shared" si="61"/>
        <v>31810.441897122655</v>
      </c>
    </row>
    <row r="106" spans="1:22" hidden="1" outlineLevel="1" x14ac:dyDescent="0.25">
      <c r="A106" s="18"/>
      <c r="B106" s="38">
        <f t="shared" si="62"/>
        <v>11</v>
      </c>
      <c r="C106" s="54">
        <f t="shared" si="55"/>
        <v>144.09821061806949</v>
      </c>
      <c r="D106" s="33">
        <f>C106*VLOOKUP($A$96,Ταρίφες!$A$6:$G$23,$K$6,FALSE)*(1+$F$3)^(B106-1)</f>
        <v>66285.176884311964</v>
      </c>
      <c r="E106" s="33">
        <f>C106*VLOOKUP($A$96,Ταρίφες!$A$6:$G$23,$K$7,FALSE)*(1+$F$3)^(B106-1)</f>
        <v>48272.900557053275</v>
      </c>
      <c r="F106" s="46">
        <f t="shared" si="51"/>
        <v>-2194.1899559905628</v>
      </c>
      <c r="G106" s="47">
        <f t="shared" si="52"/>
        <v>-1218.9944199947572</v>
      </c>
      <c r="H106" s="47">
        <f t="shared" si="53"/>
        <v>-1462.7933039937086</v>
      </c>
      <c r="I106" s="46">
        <f t="shared" si="54"/>
        <v>-5485.4748899764072</v>
      </c>
      <c r="J106" s="47">
        <f t="shared" si="56"/>
        <v>-12480</v>
      </c>
      <c r="K106" s="47">
        <f t="shared" si="57"/>
        <v>-11295.368321732698</v>
      </c>
      <c r="L106" s="47">
        <f t="shared" si="58"/>
        <v>-6612.176476645438</v>
      </c>
      <c r="M106" s="47">
        <f t="shared" si="59"/>
        <v>44628.35599262383</v>
      </c>
      <c r="N106" s="47">
        <f t="shared" si="60"/>
        <v>31299.271510452403</v>
      </c>
      <c r="O106" s="34"/>
      <c r="P106" s="35"/>
      <c r="Q106" s="35"/>
      <c r="R106" s="33"/>
      <c r="S106" s="43"/>
      <c r="T106" s="19"/>
      <c r="U106" s="27">
        <f t="shared" si="61"/>
        <v>44628.35599262383</v>
      </c>
      <c r="V106" s="28">
        <f t="shared" si="61"/>
        <v>31299.271510452403</v>
      </c>
    </row>
    <row r="107" spans="1:22" hidden="1" outlineLevel="1" x14ac:dyDescent="0.25">
      <c r="A107" s="18"/>
      <c r="B107" s="38">
        <f t="shared" si="62"/>
        <v>12</v>
      </c>
      <c r="C107" s="54">
        <f t="shared" si="55"/>
        <v>142.6572285118888</v>
      </c>
      <c r="D107" s="33">
        <f>C107*VLOOKUP($A$96,Ταρίφες!$A$6:$G$23,$K$6,FALSE)*(1+$F$3)^(B107-1)</f>
        <v>65622.325115468848</v>
      </c>
      <c r="E107" s="33">
        <f>C107*VLOOKUP($A$96,Ταρίφες!$A$6:$G$23,$K$7,FALSE)*(1+$F$3)^(B107-1)</f>
        <v>47790.171551482752</v>
      </c>
      <c r="F107" s="46">
        <f t="shared" si="51"/>
        <v>-2238.0737551103734</v>
      </c>
      <c r="G107" s="47">
        <f t="shared" si="52"/>
        <v>-1243.374308394652</v>
      </c>
      <c r="H107" s="47">
        <f t="shared" si="53"/>
        <v>-1492.0491700735824</v>
      </c>
      <c r="I107" s="46">
        <f t="shared" si="54"/>
        <v>-5595.1843877759338</v>
      </c>
      <c r="J107" s="47">
        <f t="shared" si="56"/>
        <v>-12480</v>
      </c>
      <c r="K107" s="47">
        <f t="shared" si="57"/>
        <v>-11069.147308469721</v>
      </c>
      <c r="L107" s="47">
        <f t="shared" si="58"/>
        <v>-6432.7873818333346</v>
      </c>
      <c r="M107" s="47">
        <f t="shared" si="59"/>
        <v>43984.496185644588</v>
      </c>
      <c r="N107" s="47">
        <f t="shared" si="60"/>
        <v>30788.702548294877</v>
      </c>
      <c r="O107" s="34"/>
      <c r="P107" s="35"/>
      <c r="Q107" s="35"/>
      <c r="R107" s="33"/>
      <c r="S107" s="43"/>
      <c r="T107" s="19"/>
      <c r="U107" s="27">
        <f t="shared" si="61"/>
        <v>43984.496185644588</v>
      </c>
      <c r="V107" s="28">
        <f t="shared" si="61"/>
        <v>30788.702548294877</v>
      </c>
    </row>
    <row r="108" spans="1:22" hidden="1" outlineLevel="1" x14ac:dyDescent="0.25">
      <c r="A108" s="18"/>
      <c r="B108" s="38">
        <f t="shared" si="62"/>
        <v>13</v>
      </c>
      <c r="C108" s="54">
        <f t="shared" si="55"/>
        <v>141.23065622676992</v>
      </c>
      <c r="D108" s="33">
        <f>C108*VLOOKUP($A$96,Ταρίφες!$A$6:$G$23,$K$6,FALSE)*(1+$F$3)^(B108-1)</f>
        <v>64966.101864314165</v>
      </c>
      <c r="E108" s="33">
        <f>C108*VLOOKUP($A$96,Ταρίφες!$A$6:$G$23,$K$7,FALSE)*(1+$F$3)^(B108-1)</f>
        <v>47312.269835967927</v>
      </c>
      <c r="F108" s="46">
        <f t="shared" si="51"/>
        <v>-2282.8352302125813</v>
      </c>
      <c r="G108" s="47">
        <f t="shared" si="52"/>
        <v>-1268.2417945625452</v>
      </c>
      <c r="H108" s="47">
        <f t="shared" si="53"/>
        <v>-1521.8901534750544</v>
      </c>
      <c r="I108" s="46">
        <f t="shared" si="54"/>
        <v>-5707.0880755314538</v>
      </c>
      <c r="J108" s="47">
        <f t="shared" si="56"/>
        <v>-12480</v>
      </c>
      <c r="K108" s="47">
        <f t="shared" si="57"/>
        <v>-10843.572118738459</v>
      </c>
      <c r="L108" s="47">
        <f t="shared" si="58"/>
        <v>-6253.5757913684365</v>
      </c>
      <c r="M108" s="47">
        <f t="shared" si="59"/>
        <v>43342.47449179407</v>
      </c>
      <c r="N108" s="47">
        <f t="shared" si="60"/>
        <v>30278.638790817859</v>
      </c>
      <c r="O108" s="34"/>
      <c r="P108" s="35"/>
      <c r="Q108" s="35"/>
      <c r="R108" s="33"/>
      <c r="S108" s="43"/>
      <c r="T108" s="19"/>
      <c r="U108" s="27">
        <f t="shared" si="61"/>
        <v>43342.47449179407</v>
      </c>
      <c r="V108" s="28">
        <f t="shared" si="61"/>
        <v>30278.638790817859</v>
      </c>
    </row>
    <row r="109" spans="1:22" hidden="1" outlineLevel="1" x14ac:dyDescent="0.25">
      <c r="A109" s="18"/>
      <c r="B109" s="38">
        <f t="shared" si="62"/>
        <v>14</v>
      </c>
      <c r="C109" s="54">
        <f t="shared" si="55"/>
        <v>139.81834966450222</v>
      </c>
      <c r="D109" s="33">
        <f>C109*VLOOKUP($A$96,Ταρίφες!$A$6:$G$23,$K$6,FALSE)*(1+$F$3)^(B109-1)</f>
        <v>64316.440845671023</v>
      </c>
      <c r="E109" s="33">
        <f>C109*VLOOKUP($A$96,Ταρίφες!$A$6:$G$23,$K$7,FALSE)*(1+$F$3)^(B109-1)</f>
        <v>46839.147137608241</v>
      </c>
      <c r="F109" s="46">
        <f t="shared" si="51"/>
        <v>-2328.4919348168328</v>
      </c>
      <c r="G109" s="47">
        <f t="shared" si="52"/>
        <v>-1293.606630453796</v>
      </c>
      <c r="H109" s="47">
        <f t="shared" si="53"/>
        <v>-1552.3279565445553</v>
      </c>
      <c r="I109" s="46">
        <f t="shared" si="54"/>
        <v>-5821.2298370420822</v>
      </c>
      <c r="J109" s="47">
        <f t="shared" si="56"/>
        <v>-12480</v>
      </c>
      <c r="K109" s="47">
        <f t="shared" si="57"/>
        <v>-10618.603966571576</v>
      </c>
      <c r="L109" s="47">
        <f t="shared" si="58"/>
        <v>-6074.5076024752534</v>
      </c>
      <c r="M109" s="47">
        <f t="shared" si="59"/>
        <v>42702.180520242182</v>
      </c>
      <c r="N109" s="47">
        <f t="shared" si="60"/>
        <v>29768.98317627572</v>
      </c>
      <c r="O109" s="34"/>
      <c r="P109" s="35"/>
      <c r="Q109" s="35"/>
      <c r="R109" s="33"/>
      <c r="S109" s="43"/>
      <c r="T109" s="19"/>
      <c r="U109" s="27">
        <f t="shared" si="61"/>
        <v>42702.180520242182</v>
      </c>
      <c r="V109" s="28">
        <f t="shared" si="61"/>
        <v>29768.98317627572</v>
      </c>
    </row>
    <row r="110" spans="1:22" hidden="1" outlineLevel="1" x14ac:dyDescent="0.25">
      <c r="A110" s="18"/>
      <c r="B110" s="38">
        <f t="shared" si="62"/>
        <v>15</v>
      </c>
      <c r="C110" s="54">
        <f t="shared" si="55"/>
        <v>138.42016616785719</v>
      </c>
      <c r="D110" s="33">
        <f>C110*VLOOKUP($A$96,Ταρίφες!$A$6:$G$23,$K$6,FALSE)*(1+$F$3)^(B110-1)</f>
        <v>63673.276437214306</v>
      </c>
      <c r="E110" s="33">
        <f>C110*VLOOKUP($A$96,Ταρίφες!$A$6:$G$23,$K$7,FALSE)*(1+$F$3)^(B110-1)</f>
        <v>46370.755666232159</v>
      </c>
      <c r="F110" s="46">
        <f t="shared" si="51"/>
        <v>-2375.06177351317</v>
      </c>
      <c r="G110" s="47">
        <f t="shared" si="52"/>
        <v>-1319.4787630628721</v>
      </c>
      <c r="H110" s="47">
        <f t="shared" si="53"/>
        <v>-1583.3745156754467</v>
      </c>
      <c r="I110" s="46">
        <f t="shared" si="54"/>
        <v>-5937.6544337829246</v>
      </c>
      <c r="J110" s="47">
        <f t="shared" si="56"/>
        <v>-12480</v>
      </c>
      <c r="K110" s="47">
        <f t="shared" si="57"/>
        <v>-10394.203807306772</v>
      </c>
      <c r="L110" s="47">
        <f t="shared" si="58"/>
        <v>-5895.5484068514143</v>
      </c>
      <c r="M110" s="47">
        <f t="shared" si="59"/>
        <v>42063.503143873117</v>
      </c>
      <c r="N110" s="47">
        <f t="shared" si="60"/>
        <v>29259.637773346338</v>
      </c>
      <c r="O110" s="34"/>
      <c r="P110" s="35"/>
      <c r="Q110" s="35"/>
      <c r="R110" s="33"/>
      <c r="S110" s="43"/>
      <c r="T110" s="19"/>
      <c r="U110" s="27">
        <f t="shared" si="61"/>
        <v>42063.503143873117</v>
      </c>
      <c r="V110" s="28">
        <f t="shared" si="61"/>
        <v>29259.637773346338</v>
      </c>
    </row>
    <row r="111" spans="1:22" hidden="1" outlineLevel="1" x14ac:dyDescent="0.25">
      <c r="A111" s="18"/>
      <c r="B111" s="38">
        <f t="shared" si="62"/>
        <v>16</v>
      </c>
      <c r="C111" s="54">
        <f t="shared" si="55"/>
        <v>137.03596450617863</v>
      </c>
      <c r="D111" s="33">
        <f>C111*VLOOKUP($A$96,Ταρίφες!$A$6:$G$23,$K$6,FALSE)*(1+$F$3)^(B111-1)</f>
        <v>63036.54367284217</v>
      </c>
      <c r="E111" s="33">
        <f>C111*VLOOKUP($A$96,Ταρίφες!$A$6:$G$23,$K$7,FALSE)*(1+$F$3)^(B111-1)</f>
        <v>45907.048109569841</v>
      </c>
      <c r="F111" s="46">
        <f t="shared" si="51"/>
        <v>-2422.5630089834326</v>
      </c>
      <c r="G111" s="47">
        <f t="shared" si="52"/>
        <v>-1345.8683383241291</v>
      </c>
      <c r="H111" s="47">
        <f t="shared" si="53"/>
        <v>-1615.042005988955</v>
      </c>
      <c r="I111" s="46">
        <f t="shared" si="54"/>
        <v>-6056.4075224585813</v>
      </c>
      <c r="J111" s="47">
        <f t="shared" si="56"/>
        <v>-12480</v>
      </c>
      <c r="K111" s="47">
        <f t="shared" si="57"/>
        <v>-10170.332327242641</v>
      </c>
      <c r="L111" s="47">
        <f t="shared" si="58"/>
        <v>-5716.6634807918335</v>
      </c>
      <c r="M111" s="47">
        <f t="shared" si="59"/>
        <v>41426.330469844434</v>
      </c>
      <c r="N111" s="47">
        <f t="shared" si="60"/>
        <v>28750.503753022913</v>
      </c>
      <c r="O111" s="34"/>
      <c r="P111" s="35"/>
      <c r="Q111" s="35"/>
      <c r="R111" s="33"/>
      <c r="S111" s="43"/>
      <c r="T111" s="19"/>
      <c r="U111" s="27">
        <f t="shared" si="61"/>
        <v>41426.330469844434</v>
      </c>
      <c r="V111" s="28">
        <f t="shared" si="61"/>
        <v>28750.503753022913</v>
      </c>
    </row>
    <row r="112" spans="1:22" hidden="1" outlineLevel="1" x14ac:dyDescent="0.25">
      <c r="A112" s="18"/>
      <c r="B112" s="38">
        <f t="shared" si="62"/>
        <v>17</v>
      </c>
      <c r="C112" s="54">
        <f t="shared" si="55"/>
        <v>135.66560486111683</v>
      </c>
      <c r="D112" s="33">
        <f>C112*VLOOKUP($A$96,Ταρίφες!$A$6:$G$23,$K$6,FALSE)*(1+$F$3)^(B112-1)</f>
        <v>62406.178236113745</v>
      </c>
      <c r="E112" s="33">
        <f>C112*VLOOKUP($A$96,Ταρίφες!$A$6:$G$23,$K$7,FALSE)*(1+$F$3)^(B112-1)</f>
        <v>45447.977628474138</v>
      </c>
      <c r="F112" s="46">
        <f t="shared" si="51"/>
        <v>-2471.0142691631017</v>
      </c>
      <c r="G112" s="47">
        <f t="shared" si="52"/>
        <v>-1372.7857050906121</v>
      </c>
      <c r="H112" s="47">
        <f t="shared" si="53"/>
        <v>-1647.3428461087344</v>
      </c>
      <c r="I112" s="46">
        <f t="shared" si="54"/>
        <v>-6177.5356729077539</v>
      </c>
      <c r="J112" s="47">
        <f t="shared" si="56"/>
        <v>-12480</v>
      </c>
      <c r="K112" s="47">
        <f t="shared" si="57"/>
        <v>-9946.9499331393217</v>
      </c>
      <c r="L112" s="47">
        <f t="shared" si="58"/>
        <v>-5537.8177751530229</v>
      </c>
      <c r="M112" s="47">
        <f t="shared" si="59"/>
        <v>40790.549809704222</v>
      </c>
      <c r="N112" s="47">
        <f t="shared" si="60"/>
        <v>28241.481360050915</v>
      </c>
      <c r="O112" s="34"/>
      <c r="P112" s="35"/>
      <c r="Q112" s="35"/>
      <c r="R112" s="33"/>
      <c r="S112" s="43"/>
      <c r="T112" s="19"/>
      <c r="U112" s="27">
        <f t="shared" si="61"/>
        <v>40790.549809704222</v>
      </c>
      <c r="V112" s="28">
        <f t="shared" si="61"/>
        <v>28241.481360050915</v>
      </c>
    </row>
    <row r="113" spans="1:22" hidden="1" outlineLevel="1" x14ac:dyDescent="0.25">
      <c r="A113" s="18"/>
      <c r="B113" s="38">
        <f t="shared" si="62"/>
        <v>18</v>
      </c>
      <c r="C113" s="54">
        <f t="shared" si="55"/>
        <v>134.30894881250566</v>
      </c>
      <c r="D113" s="33">
        <f>C113*VLOOKUP($A$96,Ταρίφες!$A$6:$G$23,$K$6,FALSE)*(1+$F$3)^(B113-1)</f>
        <v>61782.116453752606</v>
      </c>
      <c r="E113" s="33">
        <f>C113*VLOOKUP($A$96,Ταρίφες!$A$6:$G$23,$K$7,FALSE)*(1+$F$3)^(B113-1)</f>
        <v>44993.497852189394</v>
      </c>
      <c r="F113" s="46">
        <f t="shared" si="51"/>
        <v>-2520.4345545463639</v>
      </c>
      <c r="G113" s="47">
        <f t="shared" si="52"/>
        <v>-1400.2414191924245</v>
      </c>
      <c r="H113" s="47">
        <f t="shared" si="53"/>
        <v>-1680.2897030309093</v>
      </c>
      <c r="I113" s="46">
        <f t="shared" si="54"/>
        <v>-6301.0863863659097</v>
      </c>
      <c r="J113" s="47">
        <f t="shared" si="56"/>
        <v>-12480</v>
      </c>
      <c r="K113" s="47">
        <f t="shared" si="57"/>
        <v>-9724.016741560421</v>
      </c>
      <c r="L113" s="47">
        <f t="shared" si="58"/>
        <v>-5358.9759051539841</v>
      </c>
      <c r="M113" s="47">
        <f t="shared" si="59"/>
        <v>40156.047649056578</v>
      </c>
      <c r="N113" s="47">
        <f t="shared" si="60"/>
        <v>27732.469883899805</v>
      </c>
      <c r="O113" s="34"/>
      <c r="P113" s="35"/>
      <c r="Q113" s="35"/>
      <c r="R113" s="33"/>
      <c r="S113" s="43"/>
      <c r="T113" s="19"/>
      <c r="U113" s="27">
        <f t="shared" si="61"/>
        <v>40156.047649056578</v>
      </c>
      <c r="V113" s="28">
        <f t="shared" si="61"/>
        <v>27732.469883899805</v>
      </c>
    </row>
    <row r="114" spans="1:22" hidden="1" outlineLevel="1" x14ac:dyDescent="0.25">
      <c r="A114" s="18"/>
      <c r="B114" s="38">
        <f t="shared" si="62"/>
        <v>19</v>
      </c>
      <c r="C114" s="54">
        <f t="shared" si="55"/>
        <v>132.9658593243806</v>
      </c>
      <c r="D114" s="33">
        <f>C114*VLOOKUP($A$96,Ταρίφες!$A$6:$G$23,$K$6,FALSE)*(1+$F$3)^(B114-1)</f>
        <v>61164.295289215079</v>
      </c>
      <c r="E114" s="33">
        <f>C114*VLOOKUP($A$96,Ταρίφες!$A$6:$G$23,$K$7,FALSE)*(1+$F$3)^(B114-1)</f>
        <v>44543.562873667499</v>
      </c>
      <c r="F114" s="46">
        <f t="shared" si="51"/>
        <v>-2570.8432456372907</v>
      </c>
      <c r="G114" s="47">
        <f t="shared" si="52"/>
        <v>-1428.2462475762727</v>
      </c>
      <c r="H114" s="47">
        <f t="shared" si="53"/>
        <v>-1713.8954970915272</v>
      </c>
      <c r="I114" s="46">
        <f t="shared" si="54"/>
        <v>-6427.1081140932274</v>
      </c>
      <c r="J114" s="47">
        <f t="shared" si="56"/>
        <v>-12480</v>
      </c>
      <c r="K114" s="47">
        <f t="shared" si="57"/>
        <v>-9501.4925680523593</v>
      </c>
      <c r="L114" s="47">
        <f t="shared" si="58"/>
        <v>-5180.1021400099871</v>
      </c>
      <c r="M114" s="47">
        <f t="shared" si="59"/>
        <v>39522.709616764405</v>
      </c>
      <c r="N114" s="47">
        <f t="shared" si="60"/>
        <v>27223.367629259192</v>
      </c>
      <c r="O114" s="34"/>
      <c r="P114" s="35"/>
      <c r="Q114" s="35"/>
      <c r="R114" s="33"/>
      <c r="S114" s="43"/>
      <c r="T114" s="19"/>
      <c r="U114" s="27">
        <f t="shared" si="61"/>
        <v>39522.709616764405</v>
      </c>
      <c r="V114" s="28">
        <f t="shared" si="61"/>
        <v>27223.367629259192</v>
      </c>
    </row>
    <row r="115" spans="1:22" hidden="1" outlineLevel="1" x14ac:dyDescent="0.25">
      <c r="A115" s="18"/>
      <c r="B115" s="38">
        <f>B114+1</f>
        <v>20</v>
      </c>
      <c r="C115" s="54">
        <f>C114*(1-$F$2)</f>
        <v>131.6362007311368</v>
      </c>
      <c r="D115" s="33">
        <f>C115*VLOOKUP($A$96,Ταρίφες!$A$6:$G$23,$K$6,FALSE)*(1+$F$3)^(B115-1)</f>
        <v>60552.652336322928</v>
      </c>
      <c r="E115" s="33">
        <f>C115*VLOOKUP($A$96,Ταρίφες!$A$6:$G$23,$K$7,FALSE)*(1+$F$3)^(B115-1)</f>
        <v>44098.127244930824</v>
      </c>
      <c r="F115" s="46">
        <f t="shared" si="51"/>
        <v>-2622.2601105500366</v>
      </c>
      <c r="G115" s="47">
        <f t="shared" si="52"/>
        <v>-1456.8111725277981</v>
      </c>
      <c r="H115" s="47">
        <f>-$K$4*(1+$F$4)^(B115-$B$12)</f>
        <v>-1748.1734070333578</v>
      </c>
      <c r="I115" s="46">
        <f>-(4500*(1+$F$4)^(B115-$B$12))</f>
        <v>-6555.6502763750914</v>
      </c>
      <c r="J115" s="47">
        <f t="shared" si="56"/>
        <v>-12480</v>
      </c>
      <c r="K115" s="47">
        <f>-(D115+SUM(F115:J115))*$F$5</f>
        <v>-9279.3369161575283</v>
      </c>
      <c r="L115" s="47">
        <f>-(E115+SUM(F115:J115))*$F$5</f>
        <v>-5001.1603923955799</v>
      </c>
      <c r="M115" s="47">
        <f>D115+SUM(F115:I115)+K115</f>
        <v>38890.420453679122</v>
      </c>
      <c r="N115" s="47">
        <f>E115+SUM(F115:I115)+L115</f>
        <v>26714.071886048958</v>
      </c>
      <c r="O115" s="34"/>
      <c r="P115" s="35"/>
      <c r="Q115" s="35"/>
      <c r="R115" s="33"/>
      <c r="S115" s="43"/>
      <c r="T115" s="19"/>
      <c r="U115" s="27">
        <f>M115</f>
        <v>38890.420453679122</v>
      </c>
      <c r="V115" s="28">
        <f>N115</f>
        <v>26714.071886048958</v>
      </c>
    </row>
    <row r="116" spans="1:22" s="40" customFormat="1" hidden="1" outlineLevel="1" x14ac:dyDescent="0.25">
      <c r="O116" s="17"/>
      <c r="P116" s="25"/>
      <c r="Q116" s="25"/>
      <c r="R116" s="22"/>
      <c r="S116" s="52"/>
      <c r="T116" s="44"/>
      <c r="U116" s="74">
        <f>O117</f>
        <v>-277000</v>
      </c>
      <c r="V116" s="74">
        <f>R117</f>
        <v>-195747.21450805664</v>
      </c>
    </row>
    <row r="117" spans="1:22" collapsed="1" x14ac:dyDescent="0.25">
      <c r="A117" s="32" t="str">
        <f>Ταρίφες!A15</f>
        <v>Β Τριμ. 2011</v>
      </c>
      <c r="B117" s="38">
        <f>1</f>
        <v>1</v>
      </c>
      <c r="C117" s="54">
        <f>$F$8*$K$2/1000</f>
        <v>159.33333333333331</v>
      </c>
      <c r="D117" s="33">
        <f>C117*VLOOKUP($A$117,Ταρίφες!$A$6:$G$23,$K$6,FALSE)*(1+$F$3)^(B117-1)</f>
        <v>73293.333333333328</v>
      </c>
      <c r="E117" s="33">
        <f>C117*VLOOKUP($A$117,Ταρίφες!$A$6:$G$23,$K$7,FALSE)*(1+$F$3)^(B117-1)</f>
        <v>50986.666666666657</v>
      </c>
      <c r="F117" s="46">
        <f t="shared" ref="F117:F136" si="63">-($K$5*(1+$F$4)^(B117-$B$12))</f>
        <v>-1800</v>
      </c>
      <c r="G117" s="47">
        <f t="shared" ref="G117:G136" si="64">-$K$2*10*(1+$F$4)^(B117-$B$12)</f>
        <v>-1000</v>
      </c>
      <c r="H117" s="47">
        <f t="shared" ref="H117:H135" si="65">-$K$4*(1+$F$4)^(B117-$B$12)</f>
        <v>-1200</v>
      </c>
      <c r="I117" s="46">
        <f t="shared" ref="I117:I135" si="66">-(4500*(1+$F$4)^(B117-$B$12))</f>
        <v>-4500</v>
      </c>
      <c r="J117" s="47">
        <f>$O$117*4%</f>
        <v>-11080</v>
      </c>
      <c r="K117" s="47">
        <f>-(D117+SUM(F117:J117))*$F$5</f>
        <v>-13965.466666666665</v>
      </c>
      <c r="L117" s="47">
        <f>-(E117+SUM(F117:J117))*$F$5</f>
        <v>-8165.7333333333308</v>
      </c>
      <c r="M117" s="47">
        <f>D117+SUM(F117:I117)+K117</f>
        <v>50827.866666666661</v>
      </c>
      <c r="N117" s="47">
        <f>E117+SUM(F117:I117)+L117</f>
        <v>34320.933333333327</v>
      </c>
      <c r="O117" s="35">
        <f>-VLOOKUP(A117,'Κόστος Κατασκευής'!$A$4:$Q$17,$K$8,FALSE)</f>
        <v>-277000</v>
      </c>
      <c r="P117" s="36">
        <f t="shared" ref="P117:P136" si="67">-0.4*O117</f>
        <v>110800</v>
      </c>
      <c r="Q117" s="36">
        <f>Q96*15/16</f>
        <v>-29547.214508056641</v>
      </c>
      <c r="R117" s="37">
        <f>SUM(O117:Q117)</f>
        <v>-195747.21450805664</v>
      </c>
      <c r="S117" s="42">
        <f>IRR(U116:U136)</f>
        <v>0.16300779455836678</v>
      </c>
      <c r="T117" s="42">
        <f>IRR(V116:V136)</f>
        <v>0.15227099716133141</v>
      </c>
      <c r="U117" s="27">
        <f>M117</f>
        <v>50827.866666666661</v>
      </c>
      <c r="V117" s="28">
        <f>N117</f>
        <v>34320.933333333327</v>
      </c>
    </row>
    <row r="118" spans="1:22" hidden="1" outlineLevel="1" x14ac:dyDescent="0.25">
      <c r="A118" s="18"/>
      <c r="B118" s="38">
        <f>B117+1</f>
        <v>2</v>
      </c>
      <c r="C118" s="54">
        <f t="shared" ref="C118:C135" si="68">C117*(1-$F$2)</f>
        <v>157.73999999999998</v>
      </c>
      <c r="D118" s="33">
        <f>C118*VLOOKUP($A$117,Ταρίφες!$A$6:$G$23,$K$6,FALSE)*(1+$F$3)^(B118-1)</f>
        <v>72560.399999999994</v>
      </c>
      <c r="E118" s="33">
        <f>C118*VLOOKUP($A$117,Ταρίφες!$A$6:$G$23,$K$7,FALSE)*(1+$F$3)^(B118-1)</f>
        <v>50476.799999999996</v>
      </c>
      <c r="F118" s="46">
        <f t="shared" si="63"/>
        <v>-1836</v>
      </c>
      <c r="G118" s="47">
        <f t="shared" si="64"/>
        <v>-1020</v>
      </c>
      <c r="H118" s="47">
        <f t="shared" si="65"/>
        <v>-1224</v>
      </c>
      <c r="I118" s="46">
        <f t="shared" si="66"/>
        <v>-4590</v>
      </c>
      <c r="J118" s="47">
        <f t="shared" ref="J118:J136" si="69">$O$117*4%</f>
        <v>-11080</v>
      </c>
      <c r="K118" s="47">
        <f t="shared" ref="K118:K135" si="70">-(D118+SUM(F118:J118))*$F$5</f>
        <v>-13730.704</v>
      </c>
      <c r="L118" s="47">
        <f t="shared" ref="L118:L135" si="71">-(E118+SUM(F118:J118))*$F$5</f>
        <v>-7988.9679999999989</v>
      </c>
      <c r="M118" s="47">
        <f t="shared" ref="M118:M135" si="72">D118+SUM(F118:I118)+K118</f>
        <v>50159.695999999996</v>
      </c>
      <c r="N118" s="47">
        <f t="shared" ref="N118:N135" si="73">E118+SUM(F118:I118)+L118</f>
        <v>33817.831999999995</v>
      </c>
      <c r="O118" s="34"/>
      <c r="P118" s="36">
        <f t="shared" si="67"/>
        <v>0</v>
      </c>
      <c r="Q118" s="35"/>
      <c r="R118" s="33"/>
      <c r="S118" s="43"/>
      <c r="T118" s="19"/>
      <c r="U118" s="27">
        <f t="shared" ref="U118:V135" si="74">M118</f>
        <v>50159.695999999996</v>
      </c>
      <c r="V118" s="28">
        <f t="shared" si="74"/>
        <v>33817.831999999995</v>
      </c>
    </row>
    <row r="119" spans="1:22" hidden="1" outlineLevel="1" x14ac:dyDescent="0.25">
      <c r="A119" s="18"/>
      <c r="B119" s="38">
        <f t="shared" ref="B119:B135" si="75">B118+1</f>
        <v>3</v>
      </c>
      <c r="C119" s="54">
        <f t="shared" si="68"/>
        <v>156.16259999999997</v>
      </c>
      <c r="D119" s="33">
        <f>C119*VLOOKUP($A$117,Ταρίφες!$A$6:$G$23,$K$6,FALSE)*(1+$F$3)^(B119-1)</f>
        <v>71834.795999999988</v>
      </c>
      <c r="E119" s="33">
        <f>C119*VLOOKUP($A$117,Ταρίφες!$A$6:$G$23,$K$7,FALSE)*(1+$F$3)^(B119-1)</f>
        <v>49972.031999999992</v>
      </c>
      <c r="F119" s="46">
        <f t="shared" si="63"/>
        <v>-1872.72</v>
      </c>
      <c r="G119" s="47">
        <f t="shared" si="64"/>
        <v>-1040.4000000000001</v>
      </c>
      <c r="H119" s="47">
        <f t="shared" si="65"/>
        <v>-1248.48</v>
      </c>
      <c r="I119" s="46">
        <f t="shared" si="66"/>
        <v>-4681.8</v>
      </c>
      <c r="J119" s="47">
        <f t="shared" si="69"/>
        <v>-11080</v>
      </c>
      <c r="K119" s="47">
        <f t="shared" si="70"/>
        <v>-13496.962959999997</v>
      </c>
      <c r="L119" s="47">
        <f t="shared" si="71"/>
        <v>-7812.6443199999976</v>
      </c>
      <c r="M119" s="47">
        <f t="shared" si="72"/>
        <v>49494.433039999989</v>
      </c>
      <c r="N119" s="47">
        <f t="shared" si="73"/>
        <v>33315.987679999991</v>
      </c>
      <c r="O119" s="34"/>
      <c r="P119" s="36">
        <f t="shared" si="67"/>
        <v>0</v>
      </c>
      <c r="Q119" s="35"/>
      <c r="R119" s="33"/>
      <c r="S119" s="43"/>
      <c r="T119" s="19"/>
      <c r="U119" s="27">
        <f t="shared" si="74"/>
        <v>49494.433039999989</v>
      </c>
      <c r="V119" s="28">
        <f t="shared" si="74"/>
        <v>33315.987679999991</v>
      </c>
    </row>
    <row r="120" spans="1:22" hidden="1" outlineLevel="1" x14ac:dyDescent="0.25">
      <c r="A120" s="18"/>
      <c r="B120" s="38">
        <f t="shared" si="75"/>
        <v>4</v>
      </c>
      <c r="C120" s="54">
        <f t="shared" si="68"/>
        <v>154.60097399999998</v>
      </c>
      <c r="D120" s="33">
        <f>C120*VLOOKUP($A$117,Ταρίφες!$A$6:$G$23,$K$6,FALSE)*(1+$F$3)^(B120-1)</f>
        <v>71116.448039999988</v>
      </c>
      <c r="E120" s="33">
        <f>C120*VLOOKUP($A$117,Ταρίφες!$A$6:$G$23,$K$7,FALSE)*(1+$F$3)^(B120-1)</f>
        <v>49472.311679999992</v>
      </c>
      <c r="F120" s="46">
        <f t="shared" si="63"/>
        <v>-1910.1743999999999</v>
      </c>
      <c r="G120" s="47">
        <f t="shared" si="64"/>
        <v>-1061.2079999999999</v>
      </c>
      <c r="H120" s="47">
        <f t="shared" si="65"/>
        <v>-1273.4495999999999</v>
      </c>
      <c r="I120" s="46">
        <f t="shared" si="66"/>
        <v>-4775.4359999999997</v>
      </c>
      <c r="J120" s="47">
        <f t="shared" si="69"/>
        <v>-11080</v>
      </c>
      <c r="K120" s="47">
        <f t="shared" si="70"/>
        <v>-13264.206810399999</v>
      </c>
      <c r="L120" s="47">
        <f t="shared" si="71"/>
        <v>-7636.7313567999981</v>
      </c>
      <c r="M120" s="47">
        <f t="shared" si="72"/>
        <v>48831.973229599993</v>
      </c>
      <c r="N120" s="47">
        <f t="shared" si="73"/>
        <v>32815.312323199993</v>
      </c>
      <c r="O120" s="34"/>
      <c r="P120" s="36">
        <f t="shared" si="67"/>
        <v>0</v>
      </c>
      <c r="Q120" s="35"/>
      <c r="R120" s="33"/>
      <c r="S120" s="43"/>
      <c r="T120" s="19"/>
      <c r="U120" s="27">
        <f t="shared" si="74"/>
        <v>48831.973229599993</v>
      </c>
      <c r="V120" s="28">
        <f t="shared" si="74"/>
        <v>32815.312323199993</v>
      </c>
    </row>
    <row r="121" spans="1:22" hidden="1" outlineLevel="1" x14ac:dyDescent="0.25">
      <c r="A121" s="18"/>
      <c r="B121" s="38">
        <f t="shared" si="75"/>
        <v>5</v>
      </c>
      <c r="C121" s="54">
        <f t="shared" si="68"/>
        <v>153.05496425999999</v>
      </c>
      <c r="D121" s="33">
        <f>C121*VLOOKUP($A$117,Ταρίφες!$A$6:$G$23,$K$6,FALSE)*(1+$F$3)^(B121-1)</f>
        <v>70405.283559599993</v>
      </c>
      <c r="E121" s="33">
        <f>C121*VLOOKUP($A$117,Ταρίφες!$A$6:$G$23,$K$7,FALSE)*(1+$F$3)^(B121-1)</f>
        <v>48977.588563199999</v>
      </c>
      <c r="F121" s="46">
        <f t="shared" si="63"/>
        <v>-1948.377888</v>
      </c>
      <c r="G121" s="47">
        <f t="shared" si="64"/>
        <v>-1082.4321600000001</v>
      </c>
      <c r="H121" s="47">
        <f t="shared" si="65"/>
        <v>-1298.918592</v>
      </c>
      <c r="I121" s="46">
        <f t="shared" si="66"/>
        <v>-4870.9447199999995</v>
      </c>
      <c r="J121" s="47">
        <f t="shared" si="69"/>
        <v>-11080</v>
      </c>
      <c r="K121" s="47">
        <f t="shared" si="70"/>
        <v>-13032.398651895999</v>
      </c>
      <c r="L121" s="47">
        <f t="shared" si="71"/>
        <v>-7461.1979528319998</v>
      </c>
      <c r="M121" s="47">
        <f t="shared" si="72"/>
        <v>48172.211547703992</v>
      </c>
      <c r="N121" s="47">
        <f t="shared" si="73"/>
        <v>32315.717250367998</v>
      </c>
      <c r="O121" s="34"/>
      <c r="P121" s="36">
        <f t="shared" si="67"/>
        <v>0</v>
      </c>
      <c r="Q121" s="35"/>
      <c r="R121" s="33"/>
      <c r="S121" s="43"/>
      <c r="T121" s="19"/>
      <c r="U121" s="27">
        <f t="shared" si="74"/>
        <v>48172.211547703992</v>
      </c>
      <c r="V121" s="28">
        <f t="shared" si="74"/>
        <v>32315.717250367998</v>
      </c>
    </row>
    <row r="122" spans="1:22" hidden="1" outlineLevel="1" x14ac:dyDescent="0.25">
      <c r="A122" s="18"/>
      <c r="B122" s="38">
        <f t="shared" si="75"/>
        <v>6</v>
      </c>
      <c r="C122" s="54">
        <f t="shared" si="68"/>
        <v>151.5244146174</v>
      </c>
      <c r="D122" s="33">
        <f>C122*VLOOKUP($A$117,Ταρίφες!$A$6:$G$23,$K$6,FALSE)*(1+$F$3)^(B122-1)</f>
        <v>69701.230724003995</v>
      </c>
      <c r="E122" s="33">
        <f>C122*VLOOKUP($A$117,Ταρίφες!$A$6:$G$23,$K$7,FALSE)*(1+$F$3)^(B122-1)</f>
        <v>48487.812677567999</v>
      </c>
      <c r="F122" s="46">
        <f t="shared" si="63"/>
        <v>-1987.3454457600001</v>
      </c>
      <c r="G122" s="47">
        <f t="shared" si="64"/>
        <v>-1104.0808032</v>
      </c>
      <c r="H122" s="47">
        <f t="shared" si="65"/>
        <v>-1324.8969638400001</v>
      </c>
      <c r="I122" s="46">
        <f t="shared" si="66"/>
        <v>-4968.3636144000002</v>
      </c>
      <c r="J122" s="47">
        <f t="shared" si="69"/>
        <v>-11080</v>
      </c>
      <c r="K122" s="47">
        <f t="shared" si="70"/>
        <v>-12801.501413169039</v>
      </c>
      <c r="L122" s="47">
        <f t="shared" si="71"/>
        <v>-7286.0127210956807</v>
      </c>
      <c r="M122" s="47">
        <f t="shared" si="72"/>
        <v>47515.042483634956</v>
      </c>
      <c r="N122" s="47">
        <f t="shared" si="73"/>
        <v>31817.113129272318</v>
      </c>
      <c r="O122" s="34"/>
      <c r="P122" s="36">
        <f t="shared" si="67"/>
        <v>0</v>
      </c>
      <c r="Q122" s="35"/>
      <c r="R122" s="33"/>
      <c r="S122" s="43"/>
      <c r="T122" s="19"/>
      <c r="U122" s="27">
        <f t="shared" si="74"/>
        <v>47515.042483634956</v>
      </c>
      <c r="V122" s="28">
        <f t="shared" si="74"/>
        <v>31817.113129272318</v>
      </c>
    </row>
    <row r="123" spans="1:22" hidden="1" outlineLevel="1" x14ac:dyDescent="0.25">
      <c r="A123" s="18"/>
      <c r="B123" s="38">
        <f t="shared" si="75"/>
        <v>7</v>
      </c>
      <c r="C123" s="54">
        <f t="shared" si="68"/>
        <v>150.00917047122599</v>
      </c>
      <c r="D123" s="33">
        <f>C123*VLOOKUP($A$117,Ταρίφες!$A$6:$G$23,$K$6,FALSE)*(1+$F$3)^(B123-1)</f>
        <v>69004.21841676395</v>
      </c>
      <c r="E123" s="33">
        <f>C123*VLOOKUP($A$117,Ταρίφες!$A$6:$G$23,$K$7,FALSE)*(1+$F$3)^(B123-1)</f>
        <v>48002.934550792314</v>
      </c>
      <c r="F123" s="46">
        <f t="shared" si="63"/>
        <v>-2027.0923546752001</v>
      </c>
      <c r="G123" s="47">
        <f t="shared" si="64"/>
        <v>-1126.1624192640002</v>
      </c>
      <c r="H123" s="47">
        <f t="shared" si="65"/>
        <v>-1351.3949031168002</v>
      </c>
      <c r="I123" s="46">
        <f t="shared" si="66"/>
        <v>-5067.7308866880003</v>
      </c>
      <c r="J123" s="47">
        <f t="shared" si="69"/>
        <v>-11080</v>
      </c>
      <c r="K123" s="47">
        <f t="shared" si="70"/>
        <v>-12571.477841785187</v>
      </c>
      <c r="L123" s="47">
        <f t="shared" si="71"/>
        <v>-7111.1440366325614</v>
      </c>
      <c r="M123" s="47">
        <f t="shared" si="72"/>
        <v>46860.360011234763</v>
      </c>
      <c r="N123" s="47">
        <f t="shared" si="73"/>
        <v>31319.409950415749</v>
      </c>
      <c r="O123" s="34"/>
      <c r="P123" s="36">
        <f t="shared" si="67"/>
        <v>0</v>
      </c>
      <c r="Q123" s="35"/>
      <c r="R123" s="33"/>
      <c r="S123" s="43"/>
      <c r="T123" s="19"/>
      <c r="U123" s="27">
        <f t="shared" si="74"/>
        <v>46860.360011234763</v>
      </c>
      <c r="V123" s="28">
        <f t="shared" si="74"/>
        <v>31319.409950415749</v>
      </c>
    </row>
    <row r="124" spans="1:22" hidden="1" outlineLevel="1" x14ac:dyDescent="0.25">
      <c r="A124" s="18"/>
      <c r="B124" s="38">
        <f t="shared" si="75"/>
        <v>8</v>
      </c>
      <c r="C124" s="54">
        <f t="shared" si="68"/>
        <v>148.50907876651374</v>
      </c>
      <c r="D124" s="33">
        <f>C124*VLOOKUP($A$117,Ταρίφες!$A$6:$G$23,$K$6,FALSE)*(1+$F$3)^(B124-1)</f>
        <v>68314.176232596321</v>
      </c>
      <c r="E124" s="33">
        <f>C124*VLOOKUP($A$117,Ταρίφες!$A$6:$G$23,$K$7,FALSE)*(1+$F$3)^(B124-1)</f>
        <v>47522.905205284398</v>
      </c>
      <c r="F124" s="46">
        <f t="shared" si="63"/>
        <v>-2067.6342017687039</v>
      </c>
      <c r="G124" s="47">
        <f t="shared" si="64"/>
        <v>-1148.6856676492798</v>
      </c>
      <c r="H124" s="47">
        <f t="shared" si="65"/>
        <v>-1378.4228011791358</v>
      </c>
      <c r="I124" s="46">
        <f t="shared" si="66"/>
        <v>-5169.0855044217587</v>
      </c>
      <c r="J124" s="47">
        <f t="shared" si="69"/>
        <v>-11080</v>
      </c>
      <c r="K124" s="47">
        <f t="shared" si="70"/>
        <v>-12342.290494970137</v>
      </c>
      <c r="L124" s="47">
        <f t="shared" si="71"/>
        <v>-6936.5600278690363</v>
      </c>
      <c r="M124" s="47">
        <f t="shared" si="72"/>
        <v>46208.057562607311</v>
      </c>
      <c r="N124" s="47">
        <f t="shared" si="73"/>
        <v>30822.517002396486</v>
      </c>
      <c r="O124" s="34"/>
      <c r="P124" s="36">
        <f t="shared" si="67"/>
        <v>0</v>
      </c>
      <c r="Q124" s="35"/>
      <c r="R124" s="33"/>
      <c r="S124" s="43"/>
      <c r="T124" s="19"/>
      <c r="U124" s="27">
        <f t="shared" si="74"/>
        <v>46208.057562607311</v>
      </c>
      <c r="V124" s="28">
        <f t="shared" si="74"/>
        <v>30822.517002396486</v>
      </c>
    </row>
    <row r="125" spans="1:22" hidden="1" outlineLevel="1" x14ac:dyDescent="0.25">
      <c r="A125" s="18"/>
      <c r="B125" s="38">
        <f t="shared" si="75"/>
        <v>9</v>
      </c>
      <c r="C125" s="54">
        <f t="shared" si="68"/>
        <v>147.0239879788486</v>
      </c>
      <c r="D125" s="33">
        <f>C125*VLOOKUP($A$117,Ταρίφες!$A$6:$G$23,$K$6,FALSE)*(1+$F$3)^(B125-1)</f>
        <v>67631.034470270359</v>
      </c>
      <c r="E125" s="33">
        <f>C125*VLOOKUP($A$117,Ταρίφες!$A$6:$G$23,$K$7,FALSE)*(1+$F$3)^(B125-1)</f>
        <v>47047.67615323155</v>
      </c>
      <c r="F125" s="46">
        <f t="shared" si="63"/>
        <v>-2108.9868858040782</v>
      </c>
      <c r="G125" s="47">
        <f t="shared" si="64"/>
        <v>-1171.6593810022655</v>
      </c>
      <c r="H125" s="47">
        <f t="shared" si="65"/>
        <v>-1405.9912572027185</v>
      </c>
      <c r="I125" s="46">
        <f t="shared" si="66"/>
        <v>-5272.4672145101949</v>
      </c>
      <c r="J125" s="47">
        <f t="shared" si="69"/>
        <v>-11080</v>
      </c>
      <c r="K125" s="47">
        <f t="shared" si="70"/>
        <v>-12113.901730255287</v>
      </c>
      <c r="L125" s="47">
        <f t="shared" si="71"/>
        <v>-6762.2285678251965</v>
      </c>
      <c r="M125" s="47">
        <f t="shared" si="72"/>
        <v>45558.028001495812</v>
      </c>
      <c r="N125" s="47">
        <f t="shared" si="73"/>
        <v>30326.342846887095</v>
      </c>
      <c r="O125" s="34"/>
      <c r="P125" s="36">
        <f t="shared" si="67"/>
        <v>0</v>
      </c>
      <c r="Q125" s="35"/>
      <c r="R125" s="33"/>
      <c r="S125" s="43"/>
      <c r="T125" s="19"/>
      <c r="U125" s="27">
        <f t="shared" si="74"/>
        <v>45558.028001495812</v>
      </c>
      <c r="V125" s="28">
        <f t="shared" si="74"/>
        <v>30326.342846887095</v>
      </c>
    </row>
    <row r="126" spans="1:22" hidden="1" outlineLevel="1" x14ac:dyDescent="0.25">
      <c r="A126" s="18"/>
      <c r="B126" s="38">
        <f t="shared" si="75"/>
        <v>10</v>
      </c>
      <c r="C126" s="54">
        <f t="shared" si="68"/>
        <v>145.5537480990601</v>
      </c>
      <c r="D126" s="33">
        <f>C126*VLOOKUP($A$117,Ταρίφες!$A$6:$G$23,$K$6,FALSE)*(1+$F$3)^(B126-1)</f>
        <v>66954.724125567649</v>
      </c>
      <c r="E126" s="33">
        <f>C126*VLOOKUP($A$117,Ταρίφες!$A$6:$G$23,$K$7,FALSE)*(1+$F$3)^(B126-1)</f>
        <v>46577.199391699236</v>
      </c>
      <c r="F126" s="46">
        <f t="shared" si="63"/>
        <v>-2151.1666235201596</v>
      </c>
      <c r="G126" s="47">
        <f t="shared" si="64"/>
        <v>-1195.0925686223109</v>
      </c>
      <c r="H126" s="47">
        <f t="shared" si="65"/>
        <v>-1434.1110823467729</v>
      </c>
      <c r="I126" s="46">
        <f t="shared" si="66"/>
        <v>-5377.9165588003989</v>
      </c>
      <c r="J126" s="47">
        <f t="shared" si="69"/>
        <v>-11080</v>
      </c>
      <c r="K126" s="47">
        <f t="shared" si="70"/>
        <v>-11886.27369599228</v>
      </c>
      <c r="L126" s="47">
        <f t="shared" si="71"/>
        <v>-6588.1172651864945</v>
      </c>
      <c r="M126" s="47">
        <f t="shared" si="72"/>
        <v>44910.163596285725</v>
      </c>
      <c r="N126" s="47">
        <f t="shared" si="73"/>
        <v>29830.795293223095</v>
      </c>
      <c r="O126" s="34"/>
      <c r="P126" s="36">
        <f t="shared" si="67"/>
        <v>0</v>
      </c>
      <c r="Q126" s="35"/>
      <c r="R126" s="33"/>
      <c r="S126" s="43"/>
      <c r="T126" s="19"/>
      <c r="U126" s="27">
        <f t="shared" si="74"/>
        <v>44910.163596285725</v>
      </c>
      <c r="V126" s="28">
        <f t="shared" si="74"/>
        <v>29830.795293223095</v>
      </c>
    </row>
    <row r="127" spans="1:22" hidden="1" outlineLevel="1" x14ac:dyDescent="0.25">
      <c r="A127" s="18"/>
      <c r="B127" s="38">
        <f t="shared" si="75"/>
        <v>11</v>
      </c>
      <c r="C127" s="54">
        <f t="shared" si="68"/>
        <v>144.09821061806949</v>
      </c>
      <c r="D127" s="33">
        <f>C127*VLOOKUP($A$117,Ταρίφες!$A$6:$G$23,$K$6,FALSE)*(1+$F$3)^(B127-1)</f>
        <v>66285.176884311964</v>
      </c>
      <c r="E127" s="33">
        <f>C127*VLOOKUP($A$117,Ταρίφες!$A$6:$G$23,$K$7,FALSE)*(1+$F$3)^(B127-1)</f>
        <v>46111.427397782238</v>
      </c>
      <c r="F127" s="46">
        <f t="shared" si="63"/>
        <v>-2194.1899559905628</v>
      </c>
      <c r="G127" s="47">
        <f t="shared" si="64"/>
        <v>-1218.9944199947572</v>
      </c>
      <c r="H127" s="47">
        <f t="shared" si="65"/>
        <v>-1462.7933039937086</v>
      </c>
      <c r="I127" s="46">
        <f t="shared" si="66"/>
        <v>-5485.4748899764072</v>
      </c>
      <c r="J127" s="47">
        <f t="shared" si="69"/>
        <v>-11080</v>
      </c>
      <c r="K127" s="47">
        <f t="shared" si="70"/>
        <v>-11659.368321732698</v>
      </c>
      <c r="L127" s="47">
        <f t="shared" si="71"/>
        <v>-6414.1934552349685</v>
      </c>
      <c r="M127" s="47">
        <f t="shared" si="72"/>
        <v>44264.35599262383</v>
      </c>
      <c r="N127" s="47">
        <f t="shared" si="73"/>
        <v>29335.781372591831</v>
      </c>
      <c r="O127" s="34"/>
      <c r="P127" s="36">
        <f t="shared" si="67"/>
        <v>0</v>
      </c>
      <c r="Q127" s="35"/>
      <c r="R127" s="33"/>
      <c r="S127" s="43"/>
      <c r="T127" s="19"/>
      <c r="U127" s="27">
        <f t="shared" si="74"/>
        <v>44264.35599262383</v>
      </c>
      <c r="V127" s="28">
        <f t="shared" si="74"/>
        <v>29335.781372591831</v>
      </c>
    </row>
    <row r="128" spans="1:22" hidden="1" outlineLevel="1" x14ac:dyDescent="0.25">
      <c r="A128" s="18"/>
      <c r="B128" s="38">
        <f t="shared" si="75"/>
        <v>12</v>
      </c>
      <c r="C128" s="54">
        <f t="shared" si="68"/>
        <v>142.6572285118888</v>
      </c>
      <c r="D128" s="33">
        <f>C128*VLOOKUP($A$117,Ταρίφες!$A$6:$G$23,$K$6,FALSE)*(1+$F$3)^(B128-1)</f>
        <v>65622.325115468848</v>
      </c>
      <c r="E128" s="33">
        <f>C128*VLOOKUP($A$117,Ταρίφες!$A$6:$G$23,$K$7,FALSE)*(1+$F$3)^(B128-1)</f>
        <v>45650.313123804415</v>
      </c>
      <c r="F128" s="46">
        <f t="shared" si="63"/>
        <v>-2238.0737551103734</v>
      </c>
      <c r="G128" s="47">
        <f t="shared" si="64"/>
        <v>-1243.374308394652</v>
      </c>
      <c r="H128" s="47">
        <f t="shared" si="65"/>
        <v>-1492.0491700735824</v>
      </c>
      <c r="I128" s="46">
        <f t="shared" si="66"/>
        <v>-5595.1843877759338</v>
      </c>
      <c r="J128" s="47">
        <f t="shared" si="69"/>
        <v>-11080</v>
      </c>
      <c r="K128" s="47">
        <f t="shared" si="70"/>
        <v>-11433.147308469721</v>
      </c>
      <c r="L128" s="47">
        <f t="shared" si="71"/>
        <v>-6240.4241906369671</v>
      </c>
      <c r="M128" s="47">
        <f t="shared" si="72"/>
        <v>43620.496185644588</v>
      </c>
      <c r="N128" s="47">
        <f t="shared" si="73"/>
        <v>28841.207311812908</v>
      </c>
      <c r="O128" s="34"/>
      <c r="P128" s="36">
        <f t="shared" si="67"/>
        <v>0</v>
      </c>
      <c r="Q128" s="35"/>
      <c r="R128" s="33"/>
      <c r="S128" s="43"/>
      <c r="T128" s="19"/>
      <c r="U128" s="27">
        <f t="shared" si="74"/>
        <v>43620.496185644588</v>
      </c>
      <c r="V128" s="28">
        <f t="shared" si="74"/>
        <v>28841.207311812908</v>
      </c>
    </row>
    <row r="129" spans="1:22" hidden="1" outlineLevel="1" x14ac:dyDescent="0.25">
      <c r="A129" s="18"/>
      <c r="B129" s="38">
        <f t="shared" si="75"/>
        <v>13</v>
      </c>
      <c r="C129" s="54">
        <f t="shared" si="68"/>
        <v>141.23065622676992</v>
      </c>
      <c r="D129" s="33">
        <f>C129*VLOOKUP($A$117,Ταρίφες!$A$6:$G$23,$K$6,FALSE)*(1+$F$3)^(B129-1)</f>
        <v>64966.101864314165</v>
      </c>
      <c r="E129" s="33">
        <f>C129*VLOOKUP($A$117,Ταρίφες!$A$6:$G$23,$K$7,FALSE)*(1+$F$3)^(B129-1)</f>
        <v>45193.809992566377</v>
      </c>
      <c r="F129" s="46">
        <f t="shared" si="63"/>
        <v>-2282.8352302125813</v>
      </c>
      <c r="G129" s="47">
        <f t="shared" si="64"/>
        <v>-1268.2417945625452</v>
      </c>
      <c r="H129" s="47">
        <f t="shared" si="65"/>
        <v>-1521.8901534750544</v>
      </c>
      <c r="I129" s="46">
        <f t="shared" si="66"/>
        <v>-5707.0880755314538</v>
      </c>
      <c r="J129" s="47">
        <f t="shared" si="69"/>
        <v>-11080</v>
      </c>
      <c r="K129" s="47">
        <f t="shared" si="70"/>
        <v>-11207.572118738459</v>
      </c>
      <c r="L129" s="47">
        <f t="shared" si="71"/>
        <v>-6066.7762320840338</v>
      </c>
      <c r="M129" s="47">
        <f t="shared" si="72"/>
        <v>42978.47449179407</v>
      </c>
      <c r="N129" s="47">
        <f t="shared" si="73"/>
        <v>28346.978506700711</v>
      </c>
      <c r="O129" s="34"/>
      <c r="P129" s="36">
        <f t="shared" si="67"/>
        <v>0</v>
      </c>
      <c r="Q129" s="35"/>
      <c r="R129" s="33"/>
      <c r="S129" s="43"/>
      <c r="T129" s="19"/>
      <c r="U129" s="27">
        <f t="shared" si="74"/>
        <v>42978.47449179407</v>
      </c>
      <c r="V129" s="28">
        <f t="shared" si="74"/>
        <v>28346.978506700711</v>
      </c>
    </row>
    <row r="130" spans="1:22" hidden="1" outlineLevel="1" x14ac:dyDescent="0.25">
      <c r="A130" s="18"/>
      <c r="B130" s="38">
        <f t="shared" si="75"/>
        <v>14</v>
      </c>
      <c r="C130" s="54">
        <f t="shared" si="68"/>
        <v>139.81834966450222</v>
      </c>
      <c r="D130" s="33">
        <f>C130*VLOOKUP($A$117,Ταρίφες!$A$6:$G$23,$K$6,FALSE)*(1+$F$3)^(B130-1)</f>
        <v>64316.440845671023</v>
      </c>
      <c r="E130" s="33">
        <f>C130*VLOOKUP($A$117,Ταρίφες!$A$6:$G$23,$K$7,FALSE)*(1+$F$3)^(B130-1)</f>
        <v>44741.871892640709</v>
      </c>
      <c r="F130" s="46">
        <f t="shared" si="63"/>
        <v>-2328.4919348168328</v>
      </c>
      <c r="G130" s="47">
        <f t="shared" si="64"/>
        <v>-1293.606630453796</v>
      </c>
      <c r="H130" s="47">
        <f t="shared" si="65"/>
        <v>-1552.3279565445553</v>
      </c>
      <c r="I130" s="46">
        <f t="shared" si="66"/>
        <v>-5821.2298370420822</v>
      </c>
      <c r="J130" s="47">
        <f t="shared" si="69"/>
        <v>-11080</v>
      </c>
      <c r="K130" s="47">
        <f t="shared" si="70"/>
        <v>-10982.603966571576</v>
      </c>
      <c r="L130" s="47">
        <f t="shared" si="71"/>
        <v>-5893.2160387836948</v>
      </c>
      <c r="M130" s="47">
        <f t="shared" si="72"/>
        <v>42338.180520242182</v>
      </c>
      <c r="N130" s="47">
        <f t="shared" si="73"/>
        <v>27852.999494999745</v>
      </c>
      <c r="O130" s="34"/>
      <c r="P130" s="36">
        <f t="shared" si="67"/>
        <v>0</v>
      </c>
      <c r="Q130" s="35"/>
      <c r="R130" s="33"/>
      <c r="S130" s="43"/>
      <c r="T130" s="19"/>
      <c r="U130" s="27">
        <f t="shared" si="74"/>
        <v>42338.180520242182</v>
      </c>
      <c r="V130" s="28">
        <f t="shared" si="74"/>
        <v>27852.999494999745</v>
      </c>
    </row>
    <row r="131" spans="1:22" hidden="1" outlineLevel="1" x14ac:dyDescent="0.25">
      <c r="A131" s="18"/>
      <c r="B131" s="38">
        <f t="shared" si="75"/>
        <v>15</v>
      </c>
      <c r="C131" s="54">
        <f t="shared" si="68"/>
        <v>138.42016616785719</v>
      </c>
      <c r="D131" s="33">
        <f>C131*VLOOKUP($A$117,Ταρίφες!$A$6:$G$23,$K$6,FALSE)*(1+$F$3)^(B131-1)</f>
        <v>63673.276437214306</v>
      </c>
      <c r="E131" s="33">
        <f>C131*VLOOKUP($A$117,Ταρίφες!$A$6:$G$23,$K$7,FALSE)*(1+$F$3)^(B131-1)</f>
        <v>44294.453173714297</v>
      </c>
      <c r="F131" s="46">
        <f t="shared" si="63"/>
        <v>-2375.06177351317</v>
      </c>
      <c r="G131" s="47">
        <f t="shared" si="64"/>
        <v>-1319.4787630628721</v>
      </c>
      <c r="H131" s="47">
        <f t="shared" si="65"/>
        <v>-1583.3745156754467</v>
      </c>
      <c r="I131" s="46">
        <f t="shared" si="66"/>
        <v>-5937.6544337829246</v>
      </c>
      <c r="J131" s="47">
        <f t="shared" si="69"/>
        <v>-11080</v>
      </c>
      <c r="K131" s="47">
        <f t="shared" si="70"/>
        <v>-10758.203807306772</v>
      </c>
      <c r="L131" s="47">
        <f t="shared" si="71"/>
        <v>-5719.7097587967701</v>
      </c>
      <c r="M131" s="47">
        <f t="shared" si="72"/>
        <v>41699.503143873117</v>
      </c>
      <c r="N131" s="47">
        <f t="shared" si="73"/>
        <v>27359.17392888312</v>
      </c>
      <c r="O131" s="34"/>
      <c r="P131" s="36">
        <f t="shared" si="67"/>
        <v>0</v>
      </c>
      <c r="Q131" s="35"/>
      <c r="R131" s="33"/>
      <c r="S131" s="43"/>
      <c r="T131" s="19"/>
      <c r="U131" s="27">
        <f t="shared" si="74"/>
        <v>41699.503143873117</v>
      </c>
      <c r="V131" s="28">
        <f t="shared" si="74"/>
        <v>27359.17392888312</v>
      </c>
    </row>
    <row r="132" spans="1:22" hidden="1" outlineLevel="1" x14ac:dyDescent="0.25">
      <c r="A132" s="18"/>
      <c r="B132" s="38">
        <f t="shared" si="75"/>
        <v>16</v>
      </c>
      <c r="C132" s="54">
        <f t="shared" si="68"/>
        <v>137.03596450617863</v>
      </c>
      <c r="D132" s="33">
        <f>C132*VLOOKUP($A$117,Ταρίφες!$A$6:$G$23,$K$6,FALSE)*(1+$F$3)^(B132-1)</f>
        <v>63036.54367284217</v>
      </c>
      <c r="E132" s="33">
        <f>C132*VLOOKUP($A$117,Ταρίφες!$A$6:$G$23,$K$7,FALSE)*(1+$F$3)^(B132-1)</f>
        <v>43851.508641977161</v>
      </c>
      <c r="F132" s="46">
        <f t="shared" si="63"/>
        <v>-2422.5630089834326</v>
      </c>
      <c r="G132" s="47">
        <f t="shared" si="64"/>
        <v>-1345.8683383241291</v>
      </c>
      <c r="H132" s="47">
        <f t="shared" si="65"/>
        <v>-1615.042005988955</v>
      </c>
      <c r="I132" s="46">
        <f t="shared" si="66"/>
        <v>-6056.4075224585813</v>
      </c>
      <c r="J132" s="47">
        <f t="shared" si="69"/>
        <v>-11080</v>
      </c>
      <c r="K132" s="47">
        <f t="shared" si="70"/>
        <v>-10534.332327242641</v>
      </c>
      <c r="L132" s="47">
        <f t="shared" si="71"/>
        <v>-5546.2232192177371</v>
      </c>
      <c r="M132" s="47">
        <f t="shared" si="72"/>
        <v>41062.330469844434</v>
      </c>
      <c r="N132" s="47">
        <f t="shared" si="73"/>
        <v>26865.404547004327</v>
      </c>
      <c r="O132" s="34"/>
      <c r="P132" s="36">
        <f t="shared" si="67"/>
        <v>0</v>
      </c>
      <c r="Q132" s="35"/>
      <c r="R132" s="33"/>
      <c r="S132" s="43"/>
      <c r="T132" s="19"/>
      <c r="U132" s="27">
        <f t="shared" si="74"/>
        <v>41062.330469844434</v>
      </c>
      <c r="V132" s="28">
        <f t="shared" si="74"/>
        <v>26865.404547004327</v>
      </c>
    </row>
    <row r="133" spans="1:22" hidden="1" outlineLevel="1" x14ac:dyDescent="0.25">
      <c r="A133" s="18"/>
      <c r="B133" s="38">
        <f t="shared" si="75"/>
        <v>17</v>
      </c>
      <c r="C133" s="54">
        <f t="shared" si="68"/>
        <v>135.66560486111683</v>
      </c>
      <c r="D133" s="33">
        <f>C133*VLOOKUP($A$117,Ταρίφες!$A$6:$G$23,$K$6,FALSE)*(1+$F$3)^(B133-1)</f>
        <v>62406.178236113745</v>
      </c>
      <c r="E133" s="33">
        <f>C133*VLOOKUP($A$117,Ταρίφες!$A$6:$G$23,$K$7,FALSE)*(1+$F$3)^(B133-1)</f>
        <v>43412.99355555739</v>
      </c>
      <c r="F133" s="46">
        <f t="shared" si="63"/>
        <v>-2471.0142691631017</v>
      </c>
      <c r="G133" s="47">
        <f t="shared" si="64"/>
        <v>-1372.7857050906121</v>
      </c>
      <c r="H133" s="47">
        <f t="shared" si="65"/>
        <v>-1647.3428461087344</v>
      </c>
      <c r="I133" s="46">
        <f t="shared" si="66"/>
        <v>-6177.5356729077539</v>
      </c>
      <c r="J133" s="47">
        <f t="shared" si="69"/>
        <v>-11080</v>
      </c>
      <c r="K133" s="47">
        <f t="shared" si="70"/>
        <v>-10310.949933139322</v>
      </c>
      <c r="L133" s="47">
        <f t="shared" si="71"/>
        <v>-5372.7219161946687</v>
      </c>
      <c r="M133" s="47">
        <f t="shared" si="72"/>
        <v>40426.549809704222</v>
      </c>
      <c r="N133" s="47">
        <f t="shared" si="73"/>
        <v>26371.59314609252</v>
      </c>
      <c r="O133" s="34"/>
      <c r="P133" s="36">
        <f t="shared" si="67"/>
        <v>0</v>
      </c>
      <c r="Q133" s="35"/>
      <c r="R133" s="33"/>
      <c r="S133" s="43"/>
      <c r="T133" s="19"/>
      <c r="U133" s="27">
        <f t="shared" si="74"/>
        <v>40426.549809704222</v>
      </c>
      <c r="V133" s="28">
        <f t="shared" si="74"/>
        <v>26371.59314609252</v>
      </c>
    </row>
    <row r="134" spans="1:22" hidden="1" outlineLevel="1" x14ac:dyDescent="0.25">
      <c r="A134" s="18"/>
      <c r="B134" s="38">
        <f t="shared" si="75"/>
        <v>18</v>
      </c>
      <c r="C134" s="54">
        <f t="shared" si="68"/>
        <v>134.30894881250566</v>
      </c>
      <c r="D134" s="33">
        <f>C134*VLOOKUP($A$117,Ταρίφες!$A$6:$G$23,$K$6,FALSE)*(1+$F$3)^(B134-1)</f>
        <v>61782.116453752606</v>
      </c>
      <c r="E134" s="33">
        <f>C134*VLOOKUP($A$117,Ταρίφες!$A$6:$G$23,$K$7,FALSE)*(1+$F$3)^(B134-1)</f>
        <v>42978.863620001808</v>
      </c>
      <c r="F134" s="46">
        <f t="shared" si="63"/>
        <v>-2520.4345545463639</v>
      </c>
      <c r="G134" s="47">
        <f t="shared" si="64"/>
        <v>-1400.2414191924245</v>
      </c>
      <c r="H134" s="47">
        <f t="shared" si="65"/>
        <v>-1680.2897030309093</v>
      </c>
      <c r="I134" s="46">
        <f t="shared" si="66"/>
        <v>-6301.0863863659097</v>
      </c>
      <c r="J134" s="47">
        <f t="shared" si="69"/>
        <v>-11080</v>
      </c>
      <c r="K134" s="47">
        <f t="shared" si="70"/>
        <v>-10088.016741560421</v>
      </c>
      <c r="L134" s="47">
        <f t="shared" si="71"/>
        <v>-5199.1710047852121</v>
      </c>
      <c r="M134" s="47">
        <f t="shared" si="72"/>
        <v>39792.047649056578</v>
      </c>
      <c r="N134" s="47">
        <f t="shared" si="73"/>
        <v>25877.640552080986</v>
      </c>
      <c r="O134" s="34"/>
      <c r="P134" s="36">
        <f t="shared" si="67"/>
        <v>0</v>
      </c>
      <c r="Q134" s="35"/>
      <c r="R134" s="33"/>
      <c r="S134" s="43"/>
      <c r="T134" s="19"/>
      <c r="U134" s="27">
        <f t="shared" si="74"/>
        <v>39792.047649056578</v>
      </c>
      <c r="V134" s="28">
        <f t="shared" si="74"/>
        <v>25877.640552080986</v>
      </c>
    </row>
    <row r="135" spans="1:22" hidden="1" outlineLevel="1" x14ac:dyDescent="0.25">
      <c r="A135" s="18"/>
      <c r="B135" s="38">
        <f t="shared" si="75"/>
        <v>19</v>
      </c>
      <c r="C135" s="54">
        <f t="shared" si="68"/>
        <v>132.9658593243806</v>
      </c>
      <c r="D135" s="33">
        <f>C135*VLOOKUP($A$117,Ταρίφες!$A$6:$G$23,$K$6,FALSE)*(1+$F$3)^(B135-1)</f>
        <v>61164.295289215079</v>
      </c>
      <c r="E135" s="33">
        <f>C135*VLOOKUP($A$117,Ταρίφες!$A$6:$G$23,$K$7,FALSE)*(1+$F$3)^(B135-1)</f>
        <v>42549.074983801795</v>
      </c>
      <c r="F135" s="46">
        <f t="shared" si="63"/>
        <v>-2570.8432456372907</v>
      </c>
      <c r="G135" s="47">
        <f t="shared" si="64"/>
        <v>-1428.2462475762727</v>
      </c>
      <c r="H135" s="47">
        <f t="shared" si="65"/>
        <v>-1713.8954970915272</v>
      </c>
      <c r="I135" s="46">
        <f t="shared" si="66"/>
        <v>-6427.1081140932274</v>
      </c>
      <c r="J135" s="47">
        <f t="shared" si="69"/>
        <v>-11080</v>
      </c>
      <c r="K135" s="47">
        <f t="shared" si="70"/>
        <v>-9865.4925680523593</v>
      </c>
      <c r="L135" s="47">
        <f t="shared" si="71"/>
        <v>-5025.5352886449036</v>
      </c>
      <c r="M135" s="47">
        <f t="shared" si="72"/>
        <v>39158.709616764405</v>
      </c>
      <c r="N135" s="47">
        <f t="shared" si="73"/>
        <v>25383.446590758573</v>
      </c>
      <c r="O135" s="34"/>
      <c r="P135" s="36">
        <f t="shared" si="67"/>
        <v>0</v>
      </c>
      <c r="Q135" s="35"/>
      <c r="R135" s="33"/>
      <c r="S135" s="43"/>
      <c r="T135" s="19"/>
      <c r="U135" s="27">
        <f t="shared" si="74"/>
        <v>39158.709616764405</v>
      </c>
      <c r="V135" s="28">
        <f t="shared" si="74"/>
        <v>25383.446590758573</v>
      </c>
    </row>
    <row r="136" spans="1:22" hidden="1" outlineLevel="1" x14ac:dyDescent="0.25">
      <c r="A136" s="18"/>
      <c r="B136" s="38">
        <f>B135+1</f>
        <v>20</v>
      </c>
      <c r="C136" s="54">
        <f>C135*(1-$F$2)</f>
        <v>131.6362007311368</v>
      </c>
      <c r="D136" s="33">
        <f>C136*VLOOKUP($A$117,Ταρίφες!$A$6:$G$23,$K$6,FALSE)*(1+$F$3)^(B136-1)</f>
        <v>60552.652336322928</v>
      </c>
      <c r="E136" s="33">
        <f>C136*VLOOKUP($A$117,Ταρίφες!$A$6:$G$23,$K$7,FALSE)*(1+$F$3)^(B136-1)</f>
        <v>42123.584233963775</v>
      </c>
      <c r="F136" s="46">
        <f t="shared" si="63"/>
        <v>-2622.2601105500366</v>
      </c>
      <c r="G136" s="47">
        <f t="shared" si="64"/>
        <v>-1456.8111725277981</v>
      </c>
      <c r="H136" s="47">
        <f>-$K$4*(1+$F$4)^(B136-$B$12)</f>
        <v>-1748.1734070333578</v>
      </c>
      <c r="I136" s="46">
        <f>-(4500*(1+$F$4)^(B136-$B$12))</f>
        <v>-6555.6502763750914</v>
      </c>
      <c r="J136" s="47">
        <f t="shared" si="69"/>
        <v>-11080</v>
      </c>
      <c r="K136" s="47">
        <f>-(D136+SUM(F136:J136))*$F$5</f>
        <v>-9643.3369161575283</v>
      </c>
      <c r="L136" s="47">
        <f>-(E136+SUM(F136:J136))*$F$5</f>
        <v>-4851.7792095441473</v>
      </c>
      <c r="M136" s="47">
        <f>D136+SUM(F136:I136)+K136</f>
        <v>38526.420453679122</v>
      </c>
      <c r="N136" s="47">
        <f>E136+SUM(F136:I136)+L136</f>
        <v>24888.910057933343</v>
      </c>
      <c r="O136" s="34"/>
      <c r="P136" s="36">
        <f t="shared" si="67"/>
        <v>0</v>
      </c>
      <c r="Q136" s="35"/>
      <c r="R136" s="33"/>
      <c r="S136" s="43"/>
      <c r="T136" s="19"/>
      <c r="U136" s="27">
        <f>M136</f>
        <v>38526.420453679122</v>
      </c>
      <c r="V136" s="28">
        <f>N136</f>
        <v>24888.910057933343</v>
      </c>
    </row>
    <row r="137" spans="1:22" s="40" customFormat="1" hidden="1" outlineLevel="1" x14ac:dyDescent="0.25">
      <c r="O137" s="17"/>
      <c r="P137" s="36">
        <f>-0.4*O137</f>
        <v>0</v>
      </c>
      <c r="Q137" s="25"/>
      <c r="R137" s="22"/>
      <c r="S137" s="52"/>
      <c r="T137" s="44"/>
      <c r="U137" s="74">
        <f>O138</f>
        <v>-257000</v>
      </c>
      <c r="V137" s="74">
        <f>R138</f>
        <v>-181900.5136013031</v>
      </c>
    </row>
    <row r="138" spans="1:22" collapsed="1" x14ac:dyDescent="0.25">
      <c r="A138" s="32" t="str">
        <f>Ταρίφες!A16</f>
        <v>Γ Τριμ. 2011</v>
      </c>
      <c r="B138" s="38">
        <f>1</f>
        <v>1</v>
      </c>
      <c r="C138" s="54">
        <f>$F$8*$K$2/1000</f>
        <v>159.33333333333331</v>
      </c>
      <c r="D138" s="33">
        <f>C138*VLOOKUP($A$138,Ταρίφες!$A$6:$G$23,$K$6,FALSE)*(1+$F$3)^(B138-1)</f>
        <v>68513.333333333328</v>
      </c>
      <c r="E138" s="33">
        <f>C138*VLOOKUP($A$138,Ταρίφες!$A$6:$G$23,$K$7,FALSE)*(1+$F$3)^(B138-1)</f>
        <v>48596.666666666664</v>
      </c>
      <c r="F138" s="46">
        <f t="shared" ref="F138:F157" si="76">-($K$5*(1+$F$4)^(B138-$B$12))</f>
        <v>-1800</v>
      </c>
      <c r="G138" s="47">
        <f t="shared" ref="G138:G157" si="77">-$K$2*10*(1+$F$4)^(B138-$B$12)</f>
        <v>-1000</v>
      </c>
      <c r="H138" s="47">
        <f t="shared" ref="H138:H156" si="78">-$K$4*(1+$F$4)^(B138-$B$12)</f>
        <v>-1200</v>
      </c>
      <c r="I138" s="46">
        <f t="shared" ref="I138:I156" si="79">-(4500*(1+$F$4)^(B138-$B$12))</f>
        <v>-4500</v>
      </c>
      <c r="J138" s="47">
        <f>$O$138*4%</f>
        <v>-10280</v>
      </c>
      <c r="K138" s="47">
        <f>-(D138+SUM(F138:J138))*$F$5</f>
        <v>-12930.666666666666</v>
      </c>
      <c r="L138" s="47">
        <f>-(E138+SUM(F138:J138))*$F$5</f>
        <v>-7752.333333333333</v>
      </c>
      <c r="M138" s="47">
        <f>D138+SUM(F138:I138)+K138</f>
        <v>47082.666666666664</v>
      </c>
      <c r="N138" s="47">
        <f>E138+SUM(F138:I138)+L138</f>
        <v>32344.333333333332</v>
      </c>
      <c r="O138" s="35">
        <f>-VLOOKUP(A138,'Κόστος Κατασκευής'!$A$4:$Q$17,$K$8,FALSE)</f>
        <v>-257000</v>
      </c>
      <c r="P138" s="36">
        <f t="shared" ref="P138:P157" si="80">-0.4*O138</f>
        <v>102800</v>
      </c>
      <c r="Q138" s="36">
        <f>Q117*15/16</f>
        <v>-27700.513601303101</v>
      </c>
      <c r="R138" s="37">
        <f>SUM(O138:Q138)</f>
        <v>-181900.5136013031</v>
      </c>
      <c r="S138" s="42">
        <f>IRR(U137:U157)</f>
        <v>0.16315736251868618</v>
      </c>
      <c r="T138" s="42">
        <f>IRR(V137:V157)</f>
        <v>0.15576572652026255</v>
      </c>
      <c r="U138" s="27">
        <f>M138</f>
        <v>47082.666666666664</v>
      </c>
      <c r="V138" s="28">
        <f>N138</f>
        <v>32344.333333333332</v>
      </c>
    </row>
    <row r="139" spans="1:22" hidden="1" outlineLevel="1" x14ac:dyDescent="0.25">
      <c r="A139" s="18"/>
      <c r="B139" s="38">
        <f>B138+1</f>
        <v>2</v>
      </c>
      <c r="C139" s="54">
        <f t="shared" ref="C139:C156" si="81">C138*(1-$F$2)</f>
        <v>157.73999999999998</v>
      </c>
      <c r="D139" s="33">
        <f>C139*VLOOKUP($A$138,Ταρίφες!$A$6:$G$23,$K$6,FALSE)*(1+$F$3)^(B139-1)</f>
        <v>67828.2</v>
      </c>
      <c r="E139" s="33">
        <f>C139*VLOOKUP($A$138,Ταρίφες!$A$6:$G$23,$K$7,FALSE)*(1+$F$3)^(B139-1)</f>
        <v>48110.7</v>
      </c>
      <c r="F139" s="46">
        <f t="shared" si="76"/>
        <v>-1836</v>
      </c>
      <c r="G139" s="47">
        <f t="shared" si="77"/>
        <v>-1020</v>
      </c>
      <c r="H139" s="47">
        <f t="shared" si="78"/>
        <v>-1224</v>
      </c>
      <c r="I139" s="46">
        <f t="shared" si="79"/>
        <v>-4590</v>
      </c>
      <c r="J139" s="47">
        <f t="shared" ref="J139:J157" si="82">$O$117*4%</f>
        <v>-11080</v>
      </c>
      <c r="K139" s="47">
        <f t="shared" ref="K139:K156" si="83">-(D139+SUM(F139:J139))*$F$5</f>
        <v>-12500.332</v>
      </c>
      <c r="L139" s="47">
        <f t="shared" ref="L139:L156" si="84">-(E139+SUM(F139:J139))*$F$5</f>
        <v>-7373.7819999999992</v>
      </c>
      <c r="M139" s="47">
        <f t="shared" ref="M139:M156" si="85">D139+SUM(F139:I139)+K139</f>
        <v>46657.867999999995</v>
      </c>
      <c r="N139" s="47">
        <f t="shared" ref="N139:N156" si="86">E139+SUM(F139:I139)+L139</f>
        <v>32066.917999999998</v>
      </c>
      <c r="O139" s="34"/>
      <c r="P139" s="36">
        <f t="shared" si="80"/>
        <v>0</v>
      </c>
      <c r="Q139" s="35"/>
      <c r="R139" s="33"/>
      <c r="S139" s="43"/>
      <c r="T139" s="19"/>
      <c r="U139" s="27">
        <f t="shared" ref="U139:V156" si="87">M139</f>
        <v>46657.867999999995</v>
      </c>
      <c r="V139" s="28">
        <f t="shared" si="87"/>
        <v>32066.917999999998</v>
      </c>
    </row>
    <row r="140" spans="1:22" hidden="1" outlineLevel="1" x14ac:dyDescent="0.25">
      <c r="A140" s="18"/>
      <c r="B140" s="38">
        <f t="shared" ref="B140:B156" si="88">B139+1</f>
        <v>3</v>
      </c>
      <c r="C140" s="54">
        <f t="shared" si="81"/>
        <v>156.16259999999997</v>
      </c>
      <c r="D140" s="33">
        <f>C140*VLOOKUP($A$138,Ταρίφες!$A$6:$G$23,$K$6,FALSE)*(1+$F$3)^(B140-1)</f>
        <v>67149.917999999991</v>
      </c>
      <c r="E140" s="33">
        <f>C140*VLOOKUP($A$138,Ταρίφες!$A$6:$G$23,$K$7,FALSE)*(1+$F$3)^(B140-1)</f>
        <v>47629.592999999993</v>
      </c>
      <c r="F140" s="46">
        <f t="shared" si="76"/>
        <v>-1872.72</v>
      </c>
      <c r="G140" s="47">
        <f t="shared" si="77"/>
        <v>-1040.4000000000001</v>
      </c>
      <c r="H140" s="47">
        <f t="shared" si="78"/>
        <v>-1248.48</v>
      </c>
      <c r="I140" s="46">
        <f t="shared" si="79"/>
        <v>-4681.8</v>
      </c>
      <c r="J140" s="47">
        <f t="shared" si="82"/>
        <v>-11080</v>
      </c>
      <c r="K140" s="47">
        <f t="shared" si="83"/>
        <v>-12278.894679999998</v>
      </c>
      <c r="L140" s="47">
        <f t="shared" si="84"/>
        <v>-7203.6101799999979</v>
      </c>
      <c r="M140" s="47">
        <f t="shared" si="85"/>
        <v>46027.623319999992</v>
      </c>
      <c r="N140" s="47">
        <f t="shared" si="86"/>
        <v>31582.582819999996</v>
      </c>
      <c r="O140" s="34"/>
      <c r="P140" s="36">
        <f t="shared" si="80"/>
        <v>0</v>
      </c>
      <c r="Q140" s="35"/>
      <c r="R140" s="33"/>
      <c r="S140" s="43"/>
      <c r="T140" s="19"/>
      <c r="U140" s="27">
        <f t="shared" si="87"/>
        <v>46027.623319999992</v>
      </c>
      <c r="V140" s="28">
        <f t="shared" si="87"/>
        <v>31582.582819999996</v>
      </c>
    </row>
    <row r="141" spans="1:22" hidden="1" outlineLevel="1" x14ac:dyDescent="0.25">
      <c r="A141" s="18"/>
      <c r="B141" s="38">
        <f t="shared" si="88"/>
        <v>4</v>
      </c>
      <c r="C141" s="54">
        <f t="shared" si="81"/>
        <v>154.60097399999998</v>
      </c>
      <c r="D141" s="33">
        <f>C141*VLOOKUP($A$138,Ταρίφες!$A$6:$G$23,$K$6,FALSE)*(1+$F$3)^(B141-1)</f>
        <v>66478.418819999992</v>
      </c>
      <c r="E141" s="33">
        <f>C141*VLOOKUP($A$138,Ταρίφες!$A$6:$G$23,$K$7,FALSE)*(1+$F$3)^(B141-1)</f>
        <v>47153.297069999993</v>
      </c>
      <c r="F141" s="46">
        <f t="shared" si="76"/>
        <v>-1910.1743999999999</v>
      </c>
      <c r="G141" s="47">
        <f t="shared" si="77"/>
        <v>-1061.2079999999999</v>
      </c>
      <c r="H141" s="47">
        <f t="shared" si="78"/>
        <v>-1273.4495999999999</v>
      </c>
      <c r="I141" s="46">
        <f t="shared" si="79"/>
        <v>-4775.4359999999997</v>
      </c>
      <c r="J141" s="47">
        <f t="shared" si="82"/>
        <v>-11080</v>
      </c>
      <c r="K141" s="47">
        <f t="shared" si="83"/>
        <v>-12058.319213199999</v>
      </c>
      <c r="L141" s="47">
        <f t="shared" si="84"/>
        <v>-7033.7875581999988</v>
      </c>
      <c r="M141" s="47">
        <f t="shared" si="85"/>
        <v>45399.831606799999</v>
      </c>
      <c r="N141" s="47">
        <f t="shared" si="86"/>
        <v>31099.241511799992</v>
      </c>
      <c r="O141" s="34"/>
      <c r="P141" s="36">
        <f t="shared" si="80"/>
        <v>0</v>
      </c>
      <c r="Q141" s="35"/>
      <c r="R141" s="33"/>
      <c r="S141" s="43"/>
      <c r="T141" s="19"/>
      <c r="U141" s="27">
        <f t="shared" si="87"/>
        <v>45399.831606799999</v>
      </c>
      <c r="V141" s="28">
        <f t="shared" si="87"/>
        <v>31099.241511799992</v>
      </c>
    </row>
    <row r="142" spans="1:22" hidden="1" outlineLevel="1" x14ac:dyDescent="0.25">
      <c r="A142" s="18"/>
      <c r="B142" s="38">
        <f t="shared" si="88"/>
        <v>5</v>
      </c>
      <c r="C142" s="54">
        <f t="shared" si="81"/>
        <v>153.05496425999999</v>
      </c>
      <c r="D142" s="33">
        <f>C142*VLOOKUP($A$138,Ταρίφες!$A$6:$G$23,$K$6,FALSE)*(1+$F$3)^(B142-1)</f>
        <v>65813.6346318</v>
      </c>
      <c r="E142" s="33">
        <f>C142*VLOOKUP($A$138,Ταρίφες!$A$6:$G$23,$K$7,FALSE)*(1+$F$3)^(B142-1)</f>
        <v>46681.764099299995</v>
      </c>
      <c r="F142" s="46">
        <f t="shared" si="76"/>
        <v>-1948.377888</v>
      </c>
      <c r="G142" s="47">
        <f t="shared" si="77"/>
        <v>-1082.4321600000001</v>
      </c>
      <c r="H142" s="47">
        <f t="shared" si="78"/>
        <v>-1298.918592</v>
      </c>
      <c r="I142" s="46">
        <f t="shared" si="79"/>
        <v>-4870.9447199999995</v>
      </c>
      <c r="J142" s="47">
        <f t="shared" si="82"/>
        <v>-11080</v>
      </c>
      <c r="K142" s="47">
        <f t="shared" si="83"/>
        <v>-11838.569930668</v>
      </c>
      <c r="L142" s="47">
        <f t="shared" si="84"/>
        <v>-6864.2835922179984</v>
      </c>
      <c r="M142" s="47">
        <f t="shared" si="85"/>
        <v>44774.391341131995</v>
      </c>
      <c r="N142" s="47">
        <f t="shared" si="86"/>
        <v>30616.807147081996</v>
      </c>
      <c r="O142" s="34"/>
      <c r="P142" s="36">
        <f t="shared" si="80"/>
        <v>0</v>
      </c>
      <c r="Q142" s="35"/>
      <c r="R142" s="33"/>
      <c r="S142" s="43"/>
      <c r="T142" s="19"/>
      <c r="U142" s="27">
        <f t="shared" si="87"/>
        <v>44774.391341131995</v>
      </c>
      <c r="V142" s="28">
        <f t="shared" si="87"/>
        <v>30616.807147081996</v>
      </c>
    </row>
    <row r="143" spans="1:22" hidden="1" outlineLevel="1" x14ac:dyDescent="0.25">
      <c r="A143" s="18"/>
      <c r="B143" s="38">
        <f t="shared" si="88"/>
        <v>6</v>
      </c>
      <c r="C143" s="54">
        <f t="shared" si="81"/>
        <v>151.5244146174</v>
      </c>
      <c r="D143" s="33">
        <f>C143*VLOOKUP($A$138,Ταρίφες!$A$6:$G$23,$K$6,FALSE)*(1+$F$3)^(B143-1)</f>
        <v>65155.498285481997</v>
      </c>
      <c r="E143" s="33">
        <f>C143*VLOOKUP($A$138,Ταρίφες!$A$6:$G$23,$K$7,FALSE)*(1+$F$3)^(B143-1)</f>
        <v>46214.946458307</v>
      </c>
      <c r="F143" s="46">
        <f t="shared" si="76"/>
        <v>-1987.3454457600001</v>
      </c>
      <c r="G143" s="47">
        <f t="shared" si="77"/>
        <v>-1104.0808032</v>
      </c>
      <c r="H143" s="47">
        <f t="shared" si="78"/>
        <v>-1324.8969638400001</v>
      </c>
      <c r="I143" s="46">
        <f t="shared" si="79"/>
        <v>-4968.3636144000002</v>
      </c>
      <c r="J143" s="47">
        <f t="shared" si="82"/>
        <v>-11080</v>
      </c>
      <c r="K143" s="47">
        <f t="shared" si="83"/>
        <v>-11619.61097915332</v>
      </c>
      <c r="L143" s="47">
        <f t="shared" si="84"/>
        <v>-6695.0675040878205</v>
      </c>
      <c r="M143" s="47">
        <f t="shared" si="85"/>
        <v>44151.200479128674</v>
      </c>
      <c r="N143" s="47">
        <f t="shared" si="86"/>
        <v>30135.192127019181</v>
      </c>
      <c r="O143" s="34"/>
      <c r="P143" s="36">
        <f t="shared" si="80"/>
        <v>0</v>
      </c>
      <c r="Q143" s="35"/>
      <c r="R143" s="33"/>
      <c r="S143" s="43"/>
      <c r="T143" s="19"/>
      <c r="U143" s="27">
        <f t="shared" si="87"/>
        <v>44151.200479128674</v>
      </c>
      <c r="V143" s="28">
        <f t="shared" si="87"/>
        <v>30135.192127019181</v>
      </c>
    </row>
    <row r="144" spans="1:22" hidden="1" outlineLevel="1" x14ac:dyDescent="0.25">
      <c r="A144" s="18"/>
      <c r="B144" s="38">
        <f t="shared" si="88"/>
        <v>7</v>
      </c>
      <c r="C144" s="54">
        <f t="shared" si="81"/>
        <v>150.00917047122599</v>
      </c>
      <c r="D144" s="33">
        <f>C144*VLOOKUP($A$138,Ταρίφες!$A$6:$G$23,$K$6,FALSE)*(1+$F$3)^(B144-1)</f>
        <v>64503.943302627173</v>
      </c>
      <c r="E144" s="33">
        <f>C144*VLOOKUP($A$138,Ταρίφες!$A$6:$G$23,$K$7,FALSE)*(1+$F$3)^(B144-1)</f>
        <v>45752.796993723925</v>
      </c>
      <c r="F144" s="46">
        <f t="shared" si="76"/>
        <v>-2027.0923546752001</v>
      </c>
      <c r="G144" s="47">
        <f t="shared" si="77"/>
        <v>-1126.1624192640002</v>
      </c>
      <c r="H144" s="47">
        <f t="shared" si="78"/>
        <v>-1351.3949031168002</v>
      </c>
      <c r="I144" s="46">
        <f t="shared" si="79"/>
        <v>-5067.7308866880003</v>
      </c>
      <c r="J144" s="47">
        <f t="shared" si="82"/>
        <v>-11080</v>
      </c>
      <c r="K144" s="47">
        <f t="shared" si="83"/>
        <v>-11401.406312109624</v>
      </c>
      <c r="L144" s="47">
        <f t="shared" si="84"/>
        <v>-6526.1082717947802</v>
      </c>
      <c r="M144" s="47">
        <f t="shared" si="85"/>
        <v>43530.156426773545</v>
      </c>
      <c r="N144" s="47">
        <f t="shared" si="86"/>
        <v>29654.308158185144</v>
      </c>
      <c r="O144" s="34"/>
      <c r="P144" s="36">
        <f t="shared" si="80"/>
        <v>0</v>
      </c>
      <c r="Q144" s="35"/>
      <c r="R144" s="33"/>
      <c r="S144" s="43"/>
      <c r="T144" s="19"/>
      <c r="U144" s="27">
        <f t="shared" si="87"/>
        <v>43530.156426773545</v>
      </c>
      <c r="V144" s="28">
        <f t="shared" si="87"/>
        <v>29654.308158185144</v>
      </c>
    </row>
    <row r="145" spans="1:22" hidden="1" outlineLevel="1" x14ac:dyDescent="0.25">
      <c r="A145" s="18"/>
      <c r="B145" s="38">
        <f t="shared" si="88"/>
        <v>8</v>
      </c>
      <c r="C145" s="54">
        <f t="shared" si="81"/>
        <v>148.50907876651374</v>
      </c>
      <c r="D145" s="33">
        <f>C145*VLOOKUP($A$138,Ταρίφες!$A$6:$G$23,$K$6,FALSE)*(1+$F$3)^(B145-1)</f>
        <v>63858.903869600908</v>
      </c>
      <c r="E145" s="33">
        <f>C145*VLOOKUP($A$138,Ταρίφες!$A$6:$G$23,$K$7,FALSE)*(1+$F$3)^(B145-1)</f>
        <v>45295.269023786692</v>
      </c>
      <c r="F145" s="46">
        <f t="shared" si="76"/>
        <v>-2067.6342017687039</v>
      </c>
      <c r="G145" s="47">
        <f t="shared" si="77"/>
        <v>-1148.6856676492798</v>
      </c>
      <c r="H145" s="47">
        <f t="shared" si="78"/>
        <v>-1378.4228011791358</v>
      </c>
      <c r="I145" s="46">
        <f t="shared" si="79"/>
        <v>-5169.0855044217587</v>
      </c>
      <c r="J145" s="47">
        <f t="shared" si="82"/>
        <v>-11080</v>
      </c>
      <c r="K145" s="47">
        <f t="shared" si="83"/>
        <v>-11183.919680591329</v>
      </c>
      <c r="L145" s="47">
        <f t="shared" si="84"/>
        <v>-6357.3746206796322</v>
      </c>
      <c r="M145" s="47">
        <f t="shared" si="85"/>
        <v>42911.156013990701</v>
      </c>
      <c r="N145" s="47">
        <f t="shared" si="86"/>
        <v>29174.066228088184</v>
      </c>
      <c r="O145" s="34"/>
      <c r="P145" s="36">
        <f t="shared" si="80"/>
        <v>0</v>
      </c>
      <c r="Q145" s="35"/>
      <c r="R145" s="33"/>
      <c r="S145" s="43"/>
      <c r="T145" s="19"/>
      <c r="U145" s="27">
        <f t="shared" si="87"/>
        <v>42911.156013990701</v>
      </c>
      <c r="V145" s="28">
        <f t="shared" si="87"/>
        <v>29174.066228088184</v>
      </c>
    </row>
    <row r="146" spans="1:22" hidden="1" outlineLevel="1" x14ac:dyDescent="0.25">
      <c r="A146" s="18"/>
      <c r="B146" s="38">
        <f t="shared" si="88"/>
        <v>9</v>
      </c>
      <c r="C146" s="54">
        <f t="shared" si="81"/>
        <v>147.0239879788486</v>
      </c>
      <c r="D146" s="33">
        <f>C146*VLOOKUP($A$138,Ταρίφες!$A$6:$G$23,$K$6,FALSE)*(1+$F$3)^(B146-1)</f>
        <v>63220.314830904899</v>
      </c>
      <c r="E146" s="33">
        <f>C146*VLOOKUP($A$138,Ταρίφες!$A$6:$G$23,$K$7,FALSE)*(1+$F$3)^(B146-1)</f>
        <v>44842.316333548821</v>
      </c>
      <c r="F146" s="46">
        <f t="shared" si="76"/>
        <v>-2108.9868858040782</v>
      </c>
      <c r="G146" s="47">
        <f t="shared" si="77"/>
        <v>-1171.6593810022655</v>
      </c>
      <c r="H146" s="47">
        <f t="shared" si="78"/>
        <v>-1405.9912572027185</v>
      </c>
      <c r="I146" s="46">
        <f t="shared" si="79"/>
        <v>-5272.4672145101949</v>
      </c>
      <c r="J146" s="47">
        <f t="shared" si="82"/>
        <v>-11080</v>
      </c>
      <c r="K146" s="47">
        <f t="shared" si="83"/>
        <v>-10967.114624020267</v>
      </c>
      <c r="L146" s="47">
        <f t="shared" si="84"/>
        <v>-6188.8350147076862</v>
      </c>
      <c r="M146" s="47">
        <f t="shared" si="85"/>
        <v>42294.095468365376</v>
      </c>
      <c r="N146" s="47">
        <f t="shared" si="86"/>
        <v>28694.376580321878</v>
      </c>
      <c r="O146" s="34"/>
      <c r="P146" s="36">
        <f t="shared" si="80"/>
        <v>0</v>
      </c>
      <c r="Q146" s="35"/>
      <c r="R146" s="33"/>
      <c r="S146" s="43"/>
      <c r="T146" s="19"/>
      <c r="U146" s="27">
        <f t="shared" si="87"/>
        <v>42294.095468365376</v>
      </c>
      <c r="V146" s="28">
        <f t="shared" si="87"/>
        <v>28694.376580321878</v>
      </c>
    </row>
    <row r="147" spans="1:22" hidden="1" outlineLevel="1" x14ac:dyDescent="0.25">
      <c r="A147" s="18"/>
      <c r="B147" s="38">
        <f t="shared" si="88"/>
        <v>10</v>
      </c>
      <c r="C147" s="54">
        <f t="shared" si="81"/>
        <v>145.5537480990601</v>
      </c>
      <c r="D147" s="33">
        <f>C147*VLOOKUP($A$138,Ταρίφες!$A$6:$G$23,$K$6,FALSE)*(1+$F$3)^(B147-1)</f>
        <v>62588.111682595845</v>
      </c>
      <c r="E147" s="33">
        <f>C147*VLOOKUP($A$138,Ταρίφες!$A$6:$G$23,$K$7,FALSE)*(1+$F$3)^(B147-1)</f>
        <v>44393.893170213334</v>
      </c>
      <c r="F147" s="46">
        <f t="shared" si="76"/>
        <v>-2151.1666235201596</v>
      </c>
      <c r="G147" s="47">
        <f t="shared" si="77"/>
        <v>-1195.0925686223109</v>
      </c>
      <c r="H147" s="47">
        <f t="shared" si="78"/>
        <v>-1434.1110823467729</v>
      </c>
      <c r="I147" s="46">
        <f t="shared" si="79"/>
        <v>-5377.9165588003989</v>
      </c>
      <c r="J147" s="47">
        <f t="shared" si="82"/>
        <v>-11080</v>
      </c>
      <c r="K147" s="47">
        <f t="shared" si="83"/>
        <v>-10750.954460819612</v>
      </c>
      <c r="L147" s="47">
        <f t="shared" si="84"/>
        <v>-6020.4576476001603</v>
      </c>
      <c r="M147" s="47">
        <f t="shared" si="85"/>
        <v>41678.870388486583</v>
      </c>
      <c r="N147" s="47">
        <f t="shared" si="86"/>
        <v>28215.148689323534</v>
      </c>
      <c r="O147" s="34"/>
      <c r="P147" s="36">
        <f t="shared" si="80"/>
        <v>0</v>
      </c>
      <c r="Q147" s="35"/>
      <c r="R147" s="33"/>
      <c r="S147" s="43"/>
      <c r="T147" s="19"/>
      <c r="U147" s="27">
        <f t="shared" si="87"/>
        <v>41678.870388486583</v>
      </c>
      <c r="V147" s="28">
        <f t="shared" si="87"/>
        <v>28215.148689323534</v>
      </c>
    </row>
    <row r="148" spans="1:22" hidden="1" outlineLevel="1" x14ac:dyDescent="0.25">
      <c r="A148" s="18"/>
      <c r="B148" s="38">
        <f t="shared" si="88"/>
        <v>11</v>
      </c>
      <c r="C148" s="54">
        <f t="shared" si="81"/>
        <v>144.09821061806949</v>
      </c>
      <c r="D148" s="33">
        <f>C148*VLOOKUP($A$138,Ταρίφες!$A$6:$G$23,$K$6,FALSE)*(1+$F$3)^(B148-1)</f>
        <v>61962.230565769882</v>
      </c>
      <c r="E148" s="33">
        <f>C148*VLOOKUP($A$138,Ταρίφες!$A$6:$G$23,$K$7,FALSE)*(1+$F$3)^(B148-1)</f>
        <v>43949.954238511193</v>
      </c>
      <c r="F148" s="46">
        <f t="shared" si="76"/>
        <v>-2194.1899559905628</v>
      </c>
      <c r="G148" s="47">
        <f t="shared" si="77"/>
        <v>-1218.9944199947572</v>
      </c>
      <c r="H148" s="47">
        <f t="shared" si="78"/>
        <v>-1462.7933039937086</v>
      </c>
      <c r="I148" s="46">
        <f t="shared" si="79"/>
        <v>-5485.4748899764072</v>
      </c>
      <c r="J148" s="47">
        <f t="shared" si="82"/>
        <v>-11080</v>
      </c>
      <c r="K148" s="47">
        <f t="shared" si="83"/>
        <v>-10535.402278911757</v>
      </c>
      <c r="L148" s="47">
        <f t="shared" si="84"/>
        <v>-5852.2104338244972</v>
      </c>
      <c r="M148" s="47">
        <f t="shared" si="85"/>
        <v>41065.375716902687</v>
      </c>
      <c r="N148" s="47">
        <f t="shared" si="86"/>
        <v>27736.291234731259</v>
      </c>
      <c r="O148" s="34"/>
      <c r="P148" s="36">
        <f t="shared" si="80"/>
        <v>0</v>
      </c>
      <c r="Q148" s="35"/>
      <c r="R148" s="33"/>
      <c r="S148" s="43"/>
      <c r="T148" s="19"/>
      <c r="U148" s="27">
        <f t="shared" si="87"/>
        <v>41065.375716902687</v>
      </c>
      <c r="V148" s="28">
        <f t="shared" si="87"/>
        <v>27736.291234731259</v>
      </c>
    </row>
    <row r="149" spans="1:22" hidden="1" outlineLevel="1" x14ac:dyDescent="0.25">
      <c r="A149" s="18"/>
      <c r="B149" s="38">
        <f t="shared" si="88"/>
        <v>12</v>
      </c>
      <c r="C149" s="54">
        <f t="shared" si="81"/>
        <v>142.6572285118888</v>
      </c>
      <c r="D149" s="33">
        <f>C149*VLOOKUP($A$138,Ταρίφες!$A$6:$G$23,$K$6,FALSE)*(1+$F$3)^(B149-1)</f>
        <v>61342.608260112189</v>
      </c>
      <c r="E149" s="33">
        <f>C149*VLOOKUP($A$138,Ταρίφες!$A$6:$G$23,$K$7,FALSE)*(1+$F$3)^(B149-1)</f>
        <v>43510.454696126086</v>
      </c>
      <c r="F149" s="46">
        <f t="shared" si="76"/>
        <v>-2238.0737551103734</v>
      </c>
      <c r="G149" s="47">
        <f t="shared" si="77"/>
        <v>-1243.374308394652</v>
      </c>
      <c r="H149" s="47">
        <f t="shared" si="78"/>
        <v>-1492.0491700735824</v>
      </c>
      <c r="I149" s="46">
        <f t="shared" si="79"/>
        <v>-5595.1843877759338</v>
      </c>
      <c r="J149" s="47">
        <f t="shared" si="82"/>
        <v>-11080</v>
      </c>
      <c r="K149" s="47">
        <f t="shared" si="83"/>
        <v>-10320.420926076989</v>
      </c>
      <c r="L149" s="47">
        <f t="shared" si="84"/>
        <v>-5684.0609994406013</v>
      </c>
      <c r="M149" s="47">
        <f t="shared" si="85"/>
        <v>40453.505712680664</v>
      </c>
      <c r="N149" s="47">
        <f t="shared" si="86"/>
        <v>27257.712075330939</v>
      </c>
      <c r="O149" s="34"/>
      <c r="P149" s="36">
        <f t="shared" si="80"/>
        <v>0</v>
      </c>
      <c r="Q149" s="35"/>
      <c r="R149" s="33"/>
      <c r="S149" s="43"/>
      <c r="T149" s="19"/>
      <c r="U149" s="27">
        <f t="shared" si="87"/>
        <v>40453.505712680664</v>
      </c>
      <c r="V149" s="28">
        <f t="shared" si="87"/>
        <v>27257.712075330939</v>
      </c>
    </row>
    <row r="150" spans="1:22" hidden="1" outlineLevel="1" x14ac:dyDescent="0.25">
      <c r="A150" s="18"/>
      <c r="B150" s="38">
        <f t="shared" si="88"/>
        <v>13</v>
      </c>
      <c r="C150" s="54">
        <f t="shared" si="81"/>
        <v>141.23065622676992</v>
      </c>
      <c r="D150" s="33">
        <f>C150*VLOOKUP($A$138,Ταρίφες!$A$6:$G$23,$K$6,FALSE)*(1+$F$3)^(B150-1)</f>
        <v>60729.182177511066</v>
      </c>
      <c r="E150" s="33">
        <f>C150*VLOOKUP($A$138,Ταρίφες!$A$6:$G$23,$K$7,FALSE)*(1+$F$3)^(B150-1)</f>
        <v>43075.350149164828</v>
      </c>
      <c r="F150" s="46">
        <f t="shared" si="76"/>
        <v>-2282.8352302125813</v>
      </c>
      <c r="G150" s="47">
        <f t="shared" si="77"/>
        <v>-1268.2417945625452</v>
      </c>
      <c r="H150" s="47">
        <f t="shared" si="78"/>
        <v>-1521.8901534750544</v>
      </c>
      <c r="I150" s="46">
        <f t="shared" si="79"/>
        <v>-5707.0880755314538</v>
      </c>
      <c r="J150" s="47">
        <f t="shared" si="82"/>
        <v>-11080</v>
      </c>
      <c r="K150" s="47">
        <f t="shared" si="83"/>
        <v>-10105.973000169653</v>
      </c>
      <c r="L150" s="47">
        <f t="shared" si="84"/>
        <v>-5515.9766727996312</v>
      </c>
      <c r="M150" s="47">
        <f t="shared" si="85"/>
        <v>39843.153923559781</v>
      </c>
      <c r="N150" s="47">
        <f t="shared" si="86"/>
        <v>26779.318222583563</v>
      </c>
      <c r="O150" s="34"/>
      <c r="P150" s="36">
        <f t="shared" si="80"/>
        <v>0</v>
      </c>
      <c r="Q150" s="35"/>
      <c r="R150" s="33"/>
      <c r="S150" s="43"/>
      <c r="T150" s="19"/>
      <c r="U150" s="27">
        <f t="shared" si="87"/>
        <v>39843.153923559781</v>
      </c>
      <c r="V150" s="28">
        <f t="shared" si="87"/>
        <v>26779.318222583563</v>
      </c>
    </row>
    <row r="151" spans="1:22" hidden="1" outlineLevel="1" x14ac:dyDescent="0.25">
      <c r="A151" s="18"/>
      <c r="B151" s="38">
        <f t="shared" si="88"/>
        <v>14</v>
      </c>
      <c r="C151" s="54">
        <f t="shared" si="81"/>
        <v>139.81834966450222</v>
      </c>
      <c r="D151" s="33">
        <f>C151*VLOOKUP($A$138,Ταρίφες!$A$6:$G$23,$K$6,FALSE)*(1+$F$3)^(B151-1)</f>
        <v>60121.890355735952</v>
      </c>
      <c r="E151" s="33">
        <f>C151*VLOOKUP($A$138,Ταρίφες!$A$6:$G$23,$K$7,FALSE)*(1+$F$3)^(B151-1)</f>
        <v>42644.596647673177</v>
      </c>
      <c r="F151" s="46">
        <f t="shared" si="76"/>
        <v>-2328.4919348168328</v>
      </c>
      <c r="G151" s="47">
        <f t="shared" si="77"/>
        <v>-1293.606630453796</v>
      </c>
      <c r="H151" s="47">
        <f t="shared" si="78"/>
        <v>-1552.3279565445553</v>
      </c>
      <c r="I151" s="46">
        <f t="shared" si="79"/>
        <v>-5821.2298370420822</v>
      </c>
      <c r="J151" s="47">
        <f t="shared" si="82"/>
        <v>-11080</v>
      </c>
      <c r="K151" s="47">
        <f t="shared" si="83"/>
        <v>-9892.0208391884589</v>
      </c>
      <c r="L151" s="47">
        <f t="shared" si="84"/>
        <v>-5347.9244750921362</v>
      </c>
      <c r="M151" s="47">
        <f t="shared" si="85"/>
        <v>39234.213157690225</v>
      </c>
      <c r="N151" s="47">
        <f t="shared" si="86"/>
        <v>26301.015813723774</v>
      </c>
      <c r="O151" s="34"/>
      <c r="P151" s="36">
        <f t="shared" si="80"/>
        <v>0</v>
      </c>
      <c r="Q151" s="35"/>
      <c r="R151" s="33"/>
      <c r="S151" s="43"/>
      <c r="T151" s="19"/>
      <c r="U151" s="27">
        <f t="shared" si="87"/>
        <v>39234.213157690225</v>
      </c>
      <c r="V151" s="28">
        <f t="shared" si="87"/>
        <v>26301.015813723774</v>
      </c>
    </row>
    <row r="152" spans="1:22" hidden="1" outlineLevel="1" x14ac:dyDescent="0.25">
      <c r="A152" s="18"/>
      <c r="B152" s="38">
        <f t="shared" si="88"/>
        <v>15</v>
      </c>
      <c r="C152" s="54">
        <f t="shared" si="81"/>
        <v>138.42016616785719</v>
      </c>
      <c r="D152" s="33">
        <f>C152*VLOOKUP($A$138,Ταρίφες!$A$6:$G$23,$K$6,FALSE)*(1+$F$3)^(B152-1)</f>
        <v>59520.671452178591</v>
      </c>
      <c r="E152" s="33">
        <f>C152*VLOOKUP($A$138,Ταρίφες!$A$6:$G$23,$K$7,FALSE)*(1+$F$3)^(B152-1)</f>
        <v>42218.150681196443</v>
      </c>
      <c r="F152" s="46">
        <f t="shared" si="76"/>
        <v>-2375.06177351317</v>
      </c>
      <c r="G152" s="47">
        <f t="shared" si="77"/>
        <v>-1319.4787630628721</v>
      </c>
      <c r="H152" s="47">
        <f t="shared" si="78"/>
        <v>-1583.3745156754467</v>
      </c>
      <c r="I152" s="46">
        <f t="shared" si="79"/>
        <v>-5937.6544337829246</v>
      </c>
      <c r="J152" s="47">
        <f t="shared" si="82"/>
        <v>-11080</v>
      </c>
      <c r="K152" s="47">
        <f t="shared" si="83"/>
        <v>-9678.5265111974877</v>
      </c>
      <c r="L152" s="47">
        <f t="shared" si="84"/>
        <v>-5179.8711107421286</v>
      </c>
      <c r="M152" s="47">
        <f t="shared" si="85"/>
        <v>38626.575454946695</v>
      </c>
      <c r="N152" s="47">
        <f t="shared" si="86"/>
        <v>25822.710084419901</v>
      </c>
      <c r="O152" s="34"/>
      <c r="P152" s="36">
        <f t="shared" si="80"/>
        <v>0</v>
      </c>
      <c r="Q152" s="35"/>
      <c r="R152" s="33"/>
      <c r="S152" s="43"/>
      <c r="T152" s="19"/>
      <c r="U152" s="27">
        <f t="shared" si="87"/>
        <v>38626.575454946695</v>
      </c>
      <c r="V152" s="28">
        <f t="shared" si="87"/>
        <v>25822.710084419901</v>
      </c>
    </row>
    <row r="153" spans="1:22" hidden="1" outlineLevel="1" x14ac:dyDescent="0.25">
      <c r="A153" s="18"/>
      <c r="B153" s="38">
        <f t="shared" si="88"/>
        <v>16</v>
      </c>
      <c r="C153" s="54">
        <f t="shared" si="81"/>
        <v>137.03596450617863</v>
      </c>
      <c r="D153" s="33">
        <f>C153*VLOOKUP($A$138,Ταρίφες!$A$6:$G$23,$K$6,FALSE)*(1+$F$3)^(B153-1)</f>
        <v>58925.46473765681</v>
      </c>
      <c r="E153" s="33">
        <f>C153*VLOOKUP($A$138,Ταρίφες!$A$6:$G$23,$K$7,FALSE)*(1+$F$3)^(B153-1)</f>
        <v>41795.969174384481</v>
      </c>
      <c r="F153" s="46">
        <f t="shared" si="76"/>
        <v>-2422.5630089834326</v>
      </c>
      <c r="G153" s="47">
        <f t="shared" si="77"/>
        <v>-1345.8683383241291</v>
      </c>
      <c r="H153" s="47">
        <f t="shared" si="78"/>
        <v>-1615.042005988955</v>
      </c>
      <c r="I153" s="46">
        <f t="shared" si="79"/>
        <v>-6056.4075224585813</v>
      </c>
      <c r="J153" s="47">
        <f t="shared" si="82"/>
        <v>-11080</v>
      </c>
      <c r="K153" s="47">
        <f t="shared" si="83"/>
        <v>-9465.4518040944458</v>
      </c>
      <c r="L153" s="47">
        <f t="shared" si="84"/>
        <v>-5011.7829576436397</v>
      </c>
      <c r="M153" s="47">
        <f t="shared" si="85"/>
        <v>38020.13205780727</v>
      </c>
      <c r="N153" s="47">
        <f t="shared" si="86"/>
        <v>25344.305340985746</v>
      </c>
      <c r="O153" s="34"/>
      <c r="P153" s="36">
        <f t="shared" si="80"/>
        <v>0</v>
      </c>
      <c r="Q153" s="35"/>
      <c r="R153" s="33"/>
      <c r="S153" s="43"/>
      <c r="T153" s="19"/>
      <c r="U153" s="27">
        <f t="shared" si="87"/>
        <v>38020.13205780727</v>
      </c>
      <c r="V153" s="28">
        <f t="shared" si="87"/>
        <v>25344.305340985746</v>
      </c>
    </row>
    <row r="154" spans="1:22" hidden="1" outlineLevel="1" x14ac:dyDescent="0.25">
      <c r="A154" s="18"/>
      <c r="B154" s="38">
        <f t="shared" si="88"/>
        <v>17</v>
      </c>
      <c r="C154" s="54">
        <f t="shared" si="81"/>
        <v>135.66560486111683</v>
      </c>
      <c r="D154" s="33">
        <f>C154*VLOOKUP($A$138,Ταρίφες!$A$6:$G$23,$K$6,FALSE)*(1+$F$3)^(B154-1)</f>
        <v>58336.210090280241</v>
      </c>
      <c r="E154" s="33">
        <f>C154*VLOOKUP($A$138,Ταρίφες!$A$6:$G$23,$K$7,FALSE)*(1+$F$3)^(B154-1)</f>
        <v>41378.009482640635</v>
      </c>
      <c r="F154" s="46">
        <f t="shared" si="76"/>
        <v>-2471.0142691631017</v>
      </c>
      <c r="G154" s="47">
        <f t="shared" si="77"/>
        <v>-1372.7857050906121</v>
      </c>
      <c r="H154" s="47">
        <f t="shared" si="78"/>
        <v>-1647.3428461087344</v>
      </c>
      <c r="I154" s="46">
        <f t="shared" si="79"/>
        <v>-6177.5356729077539</v>
      </c>
      <c r="J154" s="47">
        <f t="shared" si="82"/>
        <v>-11080</v>
      </c>
      <c r="K154" s="47">
        <f t="shared" si="83"/>
        <v>-9252.7582152226096</v>
      </c>
      <c r="L154" s="47">
        <f t="shared" si="84"/>
        <v>-4843.6260572363126</v>
      </c>
      <c r="M154" s="47">
        <f t="shared" si="85"/>
        <v>37414.773381787425</v>
      </c>
      <c r="N154" s="47">
        <f t="shared" si="86"/>
        <v>24865.704932134118</v>
      </c>
      <c r="O154" s="34"/>
      <c r="P154" s="36">
        <f t="shared" si="80"/>
        <v>0</v>
      </c>
      <c r="Q154" s="35"/>
      <c r="R154" s="33"/>
      <c r="S154" s="43"/>
      <c r="T154" s="19"/>
      <c r="U154" s="27">
        <f t="shared" si="87"/>
        <v>37414.773381787425</v>
      </c>
      <c r="V154" s="28">
        <f t="shared" si="87"/>
        <v>24865.704932134118</v>
      </c>
    </row>
    <row r="155" spans="1:22" hidden="1" outlineLevel="1" x14ac:dyDescent="0.25">
      <c r="A155" s="18"/>
      <c r="B155" s="38">
        <f t="shared" si="88"/>
        <v>18</v>
      </c>
      <c r="C155" s="54">
        <f t="shared" si="81"/>
        <v>134.30894881250566</v>
      </c>
      <c r="D155" s="33">
        <f>C155*VLOOKUP($A$138,Ταρίφες!$A$6:$G$23,$K$6,FALSE)*(1+$F$3)^(B155-1)</f>
        <v>57752.847989377435</v>
      </c>
      <c r="E155" s="33">
        <f>C155*VLOOKUP($A$138,Ταρίφες!$A$6:$G$23,$K$7,FALSE)*(1+$F$3)^(B155-1)</f>
        <v>40964.22938781423</v>
      </c>
      <c r="F155" s="46">
        <f t="shared" si="76"/>
        <v>-2520.4345545463639</v>
      </c>
      <c r="G155" s="47">
        <f t="shared" si="77"/>
        <v>-1400.2414191924245</v>
      </c>
      <c r="H155" s="47">
        <f t="shared" si="78"/>
        <v>-1680.2897030309093</v>
      </c>
      <c r="I155" s="46">
        <f t="shared" si="79"/>
        <v>-6301.0863863659097</v>
      </c>
      <c r="J155" s="47">
        <f t="shared" si="82"/>
        <v>-11080</v>
      </c>
      <c r="K155" s="47">
        <f t="shared" si="83"/>
        <v>-9040.4069408228752</v>
      </c>
      <c r="L155" s="47">
        <f t="shared" si="84"/>
        <v>-4675.3661044164419</v>
      </c>
      <c r="M155" s="47">
        <f t="shared" si="85"/>
        <v>36810.388985418955</v>
      </c>
      <c r="N155" s="47">
        <f t="shared" si="86"/>
        <v>24386.811220262178</v>
      </c>
      <c r="O155" s="34"/>
      <c r="P155" s="36">
        <f t="shared" si="80"/>
        <v>0</v>
      </c>
      <c r="Q155" s="35"/>
      <c r="R155" s="33"/>
      <c r="S155" s="43"/>
      <c r="T155" s="19"/>
      <c r="U155" s="27">
        <f t="shared" si="87"/>
        <v>36810.388985418955</v>
      </c>
      <c r="V155" s="28">
        <f t="shared" si="87"/>
        <v>24386.811220262178</v>
      </c>
    </row>
    <row r="156" spans="1:22" hidden="1" outlineLevel="1" x14ac:dyDescent="0.25">
      <c r="A156" s="18"/>
      <c r="B156" s="38">
        <f t="shared" si="88"/>
        <v>19</v>
      </c>
      <c r="C156" s="54">
        <f t="shared" si="81"/>
        <v>132.9658593243806</v>
      </c>
      <c r="D156" s="33">
        <f>C156*VLOOKUP($A$138,Ταρίφες!$A$6:$G$23,$K$6,FALSE)*(1+$F$3)^(B156-1)</f>
        <v>57175.319509483656</v>
      </c>
      <c r="E156" s="33">
        <f>C156*VLOOKUP($A$138,Ταρίφες!$A$6:$G$23,$K$7,FALSE)*(1+$F$3)^(B156-1)</f>
        <v>40554.587093936083</v>
      </c>
      <c r="F156" s="46">
        <f t="shared" si="76"/>
        <v>-2570.8432456372907</v>
      </c>
      <c r="G156" s="47">
        <f t="shared" si="77"/>
        <v>-1428.2462475762727</v>
      </c>
      <c r="H156" s="47">
        <f t="shared" si="78"/>
        <v>-1713.8954970915272</v>
      </c>
      <c r="I156" s="46">
        <f t="shared" si="79"/>
        <v>-6427.1081140932274</v>
      </c>
      <c r="J156" s="47">
        <f t="shared" si="82"/>
        <v>-11080</v>
      </c>
      <c r="K156" s="47">
        <f t="shared" si="83"/>
        <v>-8828.3588653221886</v>
      </c>
      <c r="L156" s="47">
        <f t="shared" si="84"/>
        <v>-4506.9684372798192</v>
      </c>
      <c r="M156" s="47">
        <f t="shared" si="85"/>
        <v>36206.867539763152</v>
      </c>
      <c r="N156" s="47">
        <f t="shared" si="86"/>
        <v>23907.525552257946</v>
      </c>
      <c r="O156" s="34"/>
      <c r="P156" s="36">
        <f t="shared" si="80"/>
        <v>0</v>
      </c>
      <c r="Q156" s="35"/>
      <c r="R156" s="33"/>
      <c r="S156" s="43"/>
      <c r="T156" s="19"/>
      <c r="U156" s="27">
        <f t="shared" si="87"/>
        <v>36206.867539763152</v>
      </c>
      <c r="V156" s="28">
        <f t="shared" si="87"/>
        <v>23907.525552257946</v>
      </c>
    </row>
    <row r="157" spans="1:22" hidden="1" outlineLevel="1" x14ac:dyDescent="0.25">
      <c r="A157" s="18"/>
      <c r="B157" s="38">
        <f>B156+1</f>
        <v>20</v>
      </c>
      <c r="C157" s="54">
        <f>C156*(1-$F$2)</f>
        <v>131.6362007311368</v>
      </c>
      <c r="D157" s="33">
        <f>C157*VLOOKUP($A$138,Ταρίφες!$A$6:$G$23,$K$6,FALSE)*(1+$F$3)^(B157-1)</f>
        <v>56603.566314388823</v>
      </c>
      <c r="E157" s="33">
        <f>C157*VLOOKUP($A$138,Ταρίφες!$A$6:$G$23,$K$7,FALSE)*(1+$F$3)^(B157-1)</f>
        <v>40149.041222996726</v>
      </c>
      <c r="F157" s="46">
        <f t="shared" si="76"/>
        <v>-2622.2601105500366</v>
      </c>
      <c r="G157" s="47">
        <f t="shared" si="77"/>
        <v>-1456.8111725277981</v>
      </c>
      <c r="H157" s="47">
        <f>-$K$4*(1+$F$4)^(B157-$B$12)</f>
        <v>-1748.1734070333578</v>
      </c>
      <c r="I157" s="46">
        <f>-(4500*(1+$F$4)^(B157-$B$12))</f>
        <v>-6555.6502763750914</v>
      </c>
      <c r="J157" s="47">
        <f t="shared" si="82"/>
        <v>-11080</v>
      </c>
      <c r="K157" s="47">
        <f>-(D157+SUM(F157:J157))*$F$5</f>
        <v>-8616.5745504546594</v>
      </c>
      <c r="L157" s="47">
        <f>-(E157+SUM(F157:J157))*$F$5</f>
        <v>-4338.3980266927147</v>
      </c>
      <c r="M157" s="47">
        <f>D157+SUM(F157:I157)+K157</f>
        <v>35604.096797447877</v>
      </c>
      <c r="N157" s="47">
        <f>E157+SUM(F157:I157)+L157</f>
        <v>23427.748229817727</v>
      </c>
      <c r="O157" s="34"/>
      <c r="P157" s="36">
        <f t="shared" si="80"/>
        <v>0</v>
      </c>
      <c r="Q157" s="35"/>
      <c r="R157" s="33"/>
      <c r="S157" s="43"/>
      <c r="T157" s="19"/>
      <c r="U157" s="27">
        <f>M157</f>
        <v>35604.096797447877</v>
      </c>
      <c r="V157" s="28">
        <f>N157</f>
        <v>23427.748229817727</v>
      </c>
    </row>
    <row r="158" spans="1:22" s="40" customFormat="1" hidden="1" outlineLevel="1" x14ac:dyDescent="0.25">
      <c r="O158" s="17"/>
      <c r="P158" s="36">
        <f>-0.4*O158</f>
        <v>0</v>
      </c>
      <c r="Q158" s="25"/>
      <c r="R158" s="22"/>
      <c r="S158" s="52"/>
      <c r="T158" s="44"/>
      <c r="U158" s="74">
        <f>O159</f>
        <v>-224500</v>
      </c>
      <c r="V158" s="74">
        <f>R159</f>
        <v>-160669.23150122166</v>
      </c>
    </row>
    <row r="159" spans="1:22" collapsed="1" x14ac:dyDescent="0.25">
      <c r="A159" s="32" t="str">
        <f>Ταρίφες!A17</f>
        <v>Δ Τριμ. 2011</v>
      </c>
      <c r="B159" s="38">
        <f>1</f>
        <v>1</v>
      </c>
      <c r="C159" s="54">
        <f>$F$8*$K$2/1000</f>
        <v>159.33333333333331</v>
      </c>
      <c r="D159" s="33">
        <f>C159*VLOOKUP($A$159,Ταρίφες!$A$6:$G$23,$K$6,FALSE)*(1+$F$3)^(B159-1)</f>
        <v>64529.999999999993</v>
      </c>
      <c r="E159" s="33">
        <f>C159*VLOOKUP($A$159,Ταρίφες!$A$6:$G$23,$K$7,FALSE)*(1+$F$3)^(B159-1)</f>
        <v>45409.999999999993</v>
      </c>
      <c r="F159" s="46">
        <f t="shared" ref="F159:F178" si="89">-($K$5*(1+$F$4)^(B159-$B$12))</f>
        <v>-1800</v>
      </c>
      <c r="G159" s="47">
        <f t="shared" ref="G159:G178" si="90">-$K$2*10*(1+$F$4)^(B159-$B$12)</f>
        <v>-1000</v>
      </c>
      <c r="H159" s="47">
        <f t="shared" ref="H159:H177" si="91">-$K$4*(1+$F$4)^(B159-$B$12)</f>
        <v>-1200</v>
      </c>
      <c r="I159" s="46">
        <f t="shared" ref="I159:I177" si="92">-(4500*(1+$F$4)^(B159-$B$12))</f>
        <v>-4500</v>
      </c>
      <c r="J159" s="47">
        <f>$O$159*4%</f>
        <v>-8980</v>
      </c>
      <c r="K159" s="47">
        <f>-(D159+SUM(F159:J159))*$F$5</f>
        <v>-12232.999999999998</v>
      </c>
      <c r="L159" s="47">
        <f>-(E159+SUM(F159:J159))*$F$5</f>
        <v>-7261.7999999999984</v>
      </c>
      <c r="M159" s="47">
        <f>D159+SUM(F159:I159)+K159</f>
        <v>43796.999999999993</v>
      </c>
      <c r="N159" s="47">
        <f>E159+SUM(F159:I159)+L159</f>
        <v>29648.199999999993</v>
      </c>
      <c r="O159" s="35">
        <f>-VLOOKUP(A159,'Κόστος Κατασκευής'!$A$4:$Q$17,$K$8,FALSE)</f>
        <v>-224500</v>
      </c>
      <c r="P159" s="36">
        <f t="shared" ref="P159:P179" si="93">-0.4*O159</f>
        <v>89800</v>
      </c>
      <c r="Q159" s="36">
        <f>Q138*15/16</f>
        <v>-25969.231501221657</v>
      </c>
      <c r="R159" s="37">
        <f>SUM(O159:Q159)</f>
        <v>-160669.23150122166</v>
      </c>
      <c r="S159" s="42">
        <f>IRR(U158:U178)</f>
        <v>0.17486604568760522</v>
      </c>
      <c r="T159" s="42">
        <f>IRR(V158:V178)</f>
        <v>0.16128974795285345</v>
      </c>
      <c r="U159" s="27">
        <f>M159</f>
        <v>43796.999999999993</v>
      </c>
      <c r="V159" s="28">
        <f>N159</f>
        <v>29648.199999999993</v>
      </c>
    </row>
    <row r="160" spans="1:22" hidden="1" outlineLevel="1" x14ac:dyDescent="0.25">
      <c r="A160" s="18"/>
      <c r="B160" s="38">
        <f>B159+1</f>
        <v>2</v>
      </c>
      <c r="C160" s="54">
        <f t="shared" ref="C160:C177" si="94">C159*(1-$F$2)</f>
        <v>157.73999999999998</v>
      </c>
      <c r="D160" s="33">
        <f>C160*VLOOKUP($A$159,Ταρίφες!$A$6:$G$23,$K$6,FALSE)*(1+$F$3)^(B160-1)</f>
        <v>63884.69999999999</v>
      </c>
      <c r="E160" s="33">
        <f>C160*VLOOKUP($A$159,Ταρίφες!$A$6:$G$23,$K$7,FALSE)*(1+$F$3)^(B160-1)</f>
        <v>44955.899999999994</v>
      </c>
      <c r="F160" s="46">
        <f t="shared" si="89"/>
        <v>-1836</v>
      </c>
      <c r="G160" s="47">
        <f t="shared" si="90"/>
        <v>-1020</v>
      </c>
      <c r="H160" s="47">
        <f t="shared" si="91"/>
        <v>-1224</v>
      </c>
      <c r="I160" s="46">
        <f t="shared" si="92"/>
        <v>-4590</v>
      </c>
      <c r="J160" s="47">
        <f t="shared" ref="J160:J178" si="95">$O$159*4%</f>
        <v>-8980</v>
      </c>
      <c r="K160" s="47">
        <f t="shared" ref="K160:K177" si="96">-(D160+SUM(F160:J160))*$F$5</f>
        <v>-12021.021999999997</v>
      </c>
      <c r="L160" s="47">
        <f t="shared" ref="L160:L177" si="97">-(E160+SUM(F160:J160))*$F$5</f>
        <v>-7099.5339999999987</v>
      </c>
      <c r="M160" s="47">
        <f t="shared" ref="M160:M177" si="98">D160+SUM(F160:I160)+K160</f>
        <v>43193.677999999993</v>
      </c>
      <c r="N160" s="47">
        <f t="shared" ref="N160:N177" si="99">E160+SUM(F160:I160)+L160</f>
        <v>29186.365999999995</v>
      </c>
      <c r="O160" s="34"/>
      <c r="P160" s="36">
        <f t="shared" si="93"/>
        <v>0</v>
      </c>
      <c r="Q160" s="35"/>
      <c r="R160" s="33"/>
      <c r="S160" s="43"/>
      <c r="T160" s="19"/>
      <c r="U160" s="27">
        <f t="shared" ref="U160:V177" si="100">M160</f>
        <v>43193.677999999993</v>
      </c>
      <c r="V160" s="28">
        <f t="shared" si="100"/>
        <v>29186.365999999995</v>
      </c>
    </row>
    <row r="161" spans="1:22" hidden="1" outlineLevel="1" x14ac:dyDescent="0.25">
      <c r="A161" s="18"/>
      <c r="B161" s="38">
        <f t="shared" ref="B161:B177" si="101">B160+1</f>
        <v>3</v>
      </c>
      <c r="C161" s="54">
        <f t="shared" si="94"/>
        <v>156.16259999999997</v>
      </c>
      <c r="D161" s="33">
        <f>C161*VLOOKUP($A$159,Ταρίφες!$A$6:$G$23,$K$6,FALSE)*(1+$F$3)^(B161-1)</f>
        <v>63245.852999999988</v>
      </c>
      <c r="E161" s="33">
        <f>C161*VLOOKUP($A$159,Ταρίφες!$A$6:$G$23,$K$7,FALSE)*(1+$F$3)^(B161-1)</f>
        <v>44506.340999999993</v>
      </c>
      <c r="F161" s="46">
        <f t="shared" si="89"/>
        <v>-1872.72</v>
      </c>
      <c r="G161" s="47">
        <f t="shared" si="90"/>
        <v>-1040.4000000000001</v>
      </c>
      <c r="H161" s="47">
        <f t="shared" si="91"/>
        <v>-1248.48</v>
      </c>
      <c r="I161" s="46">
        <f t="shared" si="92"/>
        <v>-4681.8</v>
      </c>
      <c r="J161" s="47">
        <f t="shared" si="95"/>
        <v>-8980</v>
      </c>
      <c r="K161" s="47">
        <f t="shared" si="96"/>
        <v>-11809.837779999996</v>
      </c>
      <c r="L161" s="47">
        <f t="shared" si="97"/>
        <v>-6937.5646599999982</v>
      </c>
      <c r="M161" s="47">
        <f t="shared" si="98"/>
        <v>42592.615219999992</v>
      </c>
      <c r="N161" s="47">
        <f t="shared" si="99"/>
        <v>28725.376339999995</v>
      </c>
      <c r="O161" s="34"/>
      <c r="P161" s="36">
        <f t="shared" si="93"/>
        <v>0</v>
      </c>
      <c r="Q161" s="35"/>
      <c r="R161" s="33"/>
      <c r="S161" s="43"/>
      <c r="T161" s="19"/>
      <c r="U161" s="27">
        <f t="shared" si="100"/>
        <v>42592.615219999992</v>
      </c>
      <c r="V161" s="28">
        <f t="shared" si="100"/>
        <v>28725.376339999995</v>
      </c>
    </row>
    <row r="162" spans="1:22" hidden="1" outlineLevel="1" x14ac:dyDescent="0.25">
      <c r="A162" s="18"/>
      <c r="B162" s="38">
        <f t="shared" si="101"/>
        <v>4</v>
      </c>
      <c r="C162" s="54">
        <f t="shared" si="94"/>
        <v>154.60097399999998</v>
      </c>
      <c r="D162" s="33">
        <f>C162*VLOOKUP($A$159,Ταρίφες!$A$6:$G$23,$K$6,FALSE)*(1+$F$3)^(B162-1)</f>
        <v>62613.394469999992</v>
      </c>
      <c r="E162" s="33">
        <f>C162*VLOOKUP($A$159,Ταρίφες!$A$6:$G$23,$K$7,FALSE)*(1+$F$3)^(B162-1)</f>
        <v>44061.277589999991</v>
      </c>
      <c r="F162" s="46">
        <f t="shared" si="89"/>
        <v>-1910.1743999999999</v>
      </c>
      <c r="G162" s="47">
        <f t="shared" si="90"/>
        <v>-1061.2079999999999</v>
      </c>
      <c r="H162" s="47">
        <f t="shared" si="91"/>
        <v>-1273.4495999999999</v>
      </c>
      <c r="I162" s="46">
        <f t="shared" si="92"/>
        <v>-4775.4359999999997</v>
      </c>
      <c r="J162" s="47">
        <f t="shared" si="95"/>
        <v>-8980</v>
      </c>
      <c r="K162" s="47">
        <f t="shared" si="96"/>
        <v>-11599.412882199997</v>
      </c>
      <c r="L162" s="47">
        <f t="shared" si="97"/>
        <v>-6775.8624933999981</v>
      </c>
      <c r="M162" s="47">
        <f t="shared" si="98"/>
        <v>41993.71358779999</v>
      </c>
      <c r="N162" s="47">
        <f t="shared" si="99"/>
        <v>28265.147096599991</v>
      </c>
      <c r="O162" s="34"/>
      <c r="P162" s="36">
        <f t="shared" si="93"/>
        <v>0</v>
      </c>
      <c r="Q162" s="35"/>
      <c r="R162" s="33"/>
      <c r="S162" s="43"/>
      <c r="T162" s="19"/>
      <c r="U162" s="27">
        <f t="shared" si="100"/>
        <v>41993.71358779999</v>
      </c>
      <c r="V162" s="28">
        <f t="shared" si="100"/>
        <v>28265.147096599991</v>
      </c>
    </row>
    <row r="163" spans="1:22" hidden="1" outlineLevel="1" x14ac:dyDescent="0.25">
      <c r="A163" s="18"/>
      <c r="B163" s="38">
        <f t="shared" si="101"/>
        <v>5</v>
      </c>
      <c r="C163" s="54">
        <f t="shared" si="94"/>
        <v>153.05496425999999</v>
      </c>
      <c r="D163" s="33">
        <f>C163*VLOOKUP($A$159,Ταρίφες!$A$6:$G$23,$K$6,FALSE)*(1+$F$3)^(B163-1)</f>
        <v>61987.260525299993</v>
      </c>
      <c r="E163" s="33">
        <f>C163*VLOOKUP($A$159,Ταρίφες!$A$6:$G$23,$K$7,FALSE)*(1+$F$3)^(B163-1)</f>
        <v>43620.664814099997</v>
      </c>
      <c r="F163" s="46">
        <f t="shared" si="89"/>
        <v>-1948.377888</v>
      </c>
      <c r="G163" s="47">
        <f t="shared" si="90"/>
        <v>-1082.4321600000001</v>
      </c>
      <c r="H163" s="47">
        <f t="shared" si="91"/>
        <v>-1298.918592</v>
      </c>
      <c r="I163" s="46">
        <f t="shared" si="92"/>
        <v>-4870.9447199999995</v>
      </c>
      <c r="J163" s="47">
        <f t="shared" si="95"/>
        <v>-8980</v>
      </c>
      <c r="K163" s="47">
        <f t="shared" si="96"/>
        <v>-11389.712662977998</v>
      </c>
      <c r="L163" s="47">
        <f t="shared" si="97"/>
        <v>-6614.3977780659989</v>
      </c>
      <c r="M163" s="47">
        <f t="shared" si="98"/>
        <v>41396.874502321996</v>
      </c>
      <c r="N163" s="47">
        <f t="shared" si="99"/>
        <v>27805.593676033997</v>
      </c>
      <c r="O163" s="34"/>
      <c r="P163" s="36">
        <f t="shared" si="93"/>
        <v>0</v>
      </c>
      <c r="Q163" s="35"/>
      <c r="R163" s="33"/>
      <c r="S163" s="43"/>
      <c r="T163" s="19"/>
      <c r="U163" s="27">
        <f t="shared" si="100"/>
        <v>41396.874502321996</v>
      </c>
      <c r="V163" s="28">
        <f t="shared" si="100"/>
        <v>27805.593676033997</v>
      </c>
    </row>
    <row r="164" spans="1:22" hidden="1" outlineLevel="1" x14ac:dyDescent="0.25">
      <c r="A164" s="18"/>
      <c r="B164" s="38">
        <f t="shared" si="101"/>
        <v>6</v>
      </c>
      <c r="C164" s="54">
        <f t="shared" si="94"/>
        <v>151.5244146174</v>
      </c>
      <c r="D164" s="33">
        <f>C164*VLOOKUP($A$159,Ταρίφες!$A$6:$G$23,$K$6,FALSE)*(1+$F$3)^(B164-1)</f>
        <v>61367.387920046996</v>
      </c>
      <c r="E164" s="33">
        <f>C164*VLOOKUP($A$159,Ταρίφες!$A$6:$G$23,$K$7,FALSE)*(1+$F$3)^(B164-1)</f>
        <v>43184.458165958997</v>
      </c>
      <c r="F164" s="46">
        <f t="shared" si="89"/>
        <v>-1987.3454457600001</v>
      </c>
      <c r="G164" s="47">
        <f t="shared" si="90"/>
        <v>-1104.0808032</v>
      </c>
      <c r="H164" s="47">
        <f t="shared" si="91"/>
        <v>-1324.8969638400001</v>
      </c>
      <c r="I164" s="46">
        <f t="shared" si="92"/>
        <v>-4968.3636144000002</v>
      </c>
      <c r="J164" s="47">
        <f t="shared" si="95"/>
        <v>-8980</v>
      </c>
      <c r="K164" s="47">
        <f t="shared" si="96"/>
        <v>-11180.702284140219</v>
      </c>
      <c r="L164" s="47">
        <f t="shared" si="97"/>
        <v>-6453.1405480773392</v>
      </c>
      <c r="M164" s="47">
        <f t="shared" si="98"/>
        <v>40801.998808706776</v>
      </c>
      <c r="N164" s="47">
        <f t="shared" si="99"/>
        <v>27346.630790681658</v>
      </c>
      <c r="O164" s="34"/>
      <c r="P164" s="36">
        <f t="shared" si="93"/>
        <v>0</v>
      </c>
      <c r="Q164" s="35"/>
      <c r="R164" s="33"/>
      <c r="S164" s="43"/>
      <c r="T164" s="19"/>
      <c r="U164" s="27">
        <f t="shared" si="100"/>
        <v>40801.998808706776</v>
      </c>
      <c r="V164" s="28">
        <f t="shared" si="100"/>
        <v>27346.630790681658</v>
      </c>
    </row>
    <row r="165" spans="1:22" hidden="1" outlineLevel="1" x14ac:dyDescent="0.25">
      <c r="A165" s="18"/>
      <c r="B165" s="38">
        <f t="shared" si="101"/>
        <v>7</v>
      </c>
      <c r="C165" s="54">
        <f t="shared" si="94"/>
        <v>150.00917047122599</v>
      </c>
      <c r="D165" s="33">
        <f>C165*VLOOKUP($A$159,Ταρίφες!$A$6:$G$23,$K$6,FALSE)*(1+$F$3)^(B165-1)</f>
        <v>60753.714040846527</v>
      </c>
      <c r="E165" s="33">
        <f>C165*VLOOKUP($A$159,Ταρίφες!$A$6:$G$23,$K$7,FALSE)*(1+$F$3)^(B165-1)</f>
        <v>42752.613584299404</v>
      </c>
      <c r="F165" s="46">
        <f t="shared" si="89"/>
        <v>-2027.0923546752001</v>
      </c>
      <c r="G165" s="47">
        <f t="shared" si="90"/>
        <v>-1126.1624192640002</v>
      </c>
      <c r="H165" s="47">
        <f t="shared" si="91"/>
        <v>-1351.3949031168002</v>
      </c>
      <c r="I165" s="46">
        <f t="shared" si="92"/>
        <v>-5067.7308866880003</v>
      </c>
      <c r="J165" s="47">
        <f t="shared" si="95"/>
        <v>-8980</v>
      </c>
      <c r="K165" s="47">
        <f t="shared" si="96"/>
        <v>-10972.346704046657</v>
      </c>
      <c r="L165" s="47">
        <f t="shared" si="97"/>
        <v>-6292.0605853444049</v>
      </c>
      <c r="M165" s="47">
        <f t="shared" si="98"/>
        <v>40208.986773055869</v>
      </c>
      <c r="N165" s="47">
        <f t="shared" si="99"/>
        <v>26888.172435210996</v>
      </c>
      <c r="O165" s="34"/>
      <c r="P165" s="36">
        <f t="shared" si="93"/>
        <v>0</v>
      </c>
      <c r="Q165" s="35"/>
      <c r="R165" s="33"/>
      <c r="S165" s="43"/>
      <c r="T165" s="19"/>
      <c r="U165" s="27">
        <f t="shared" si="100"/>
        <v>40208.986773055869</v>
      </c>
      <c r="V165" s="28">
        <f t="shared" si="100"/>
        <v>26888.172435210996</v>
      </c>
    </row>
    <row r="166" spans="1:22" hidden="1" outlineLevel="1" x14ac:dyDescent="0.25">
      <c r="A166" s="18"/>
      <c r="B166" s="38">
        <f t="shared" si="101"/>
        <v>8</v>
      </c>
      <c r="C166" s="54">
        <f t="shared" si="94"/>
        <v>148.50907876651374</v>
      </c>
      <c r="D166" s="33">
        <f>C166*VLOOKUP($A$159,Ταρίφες!$A$6:$G$23,$K$6,FALSE)*(1+$F$3)^(B166-1)</f>
        <v>60146.176900438062</v>
      </c>
      <c r="E166" s="33">
        <f>C166*VLOOKUP($A$159,Ταρίφες!$A$6:$G$23,$K$7,FALSE)*(1+$F$3)^(B166-1)</f>
        <v>42325.087448456412</v>
      </c>
      <c r="F166" s="46">
        <f t="shared" si="89"/>
        <v>-2067.6342017687039</v>
      </c>
      <c r="G166" s="47">
        <f t="shared" si="90"/>
        <v>-1148.6856676492798</v>
      </c>
      <c r="H166" s="47">
        <f t="shared" si="91"/>
        <v>-1378.4228011791358</v>
      </c>
      <c r="I166" s="46">
        <f t="shared" si="92"/>
        <v>-5169.0855044217587</v>
      </c>
      <c r="J166" s="47">
        <f t="shared" si="95"/>
        <v>-8980</v>
      </c>
      <c r="K166" s="47">
        <f t="shared" si="96"/>
        <v>-10764.610668608988</v>
      </c>
      <c r="L166" s="47">
        <f t="shared" si="97"/>
        <v>-6131.1274110937593</v>
      </c>
      <c r="M166" s="47">
        <f t="shared" si="98"/>
        <v>39617.738056810194</v>
      </c>
      <c r="N166" s="47">
        <f t="shared" si="99"/>
        <v>26430.131862343776</v>
      </c>
      <c r="O166" s="34"/>
      <c r="P166" s="36">
        <f t="shared" si="93"/>
        <v>0</v>
      </c>
      <c r="Q166" s="35"/>
      <c r="R166" s="33"/>
      <c r="S166" s="43"/>
      <c r="T166" s="19"/>
      <c r="U166" s="27">
        <f t="shared" si="100"/>
        <v>39617.738056810194</v>
      </c>
      <c r="V166" s="28">
        <f t="shared" si="100"/>
        <v>26430.131862343776</v>
      </c>
    </row>
    <row r="167" spans="1:22" hidden="1" outlineLevel="1" x14ac:dyDescent="0.25">
      <c r="A167" s="18"/>
      <c r="B167" s="38">
        <f t="shared" si="101"/>
        <v>9</v>
      </c>
      <c r="C167" s="54">
        <f t="shared" si="94"/>
        <v>147.0239879788486</v>
      </c>
      <c r="D167" s="33">
        <f>C167*VLOOKUP($A$159,Ταρίφες!$A$6:$G$23,$K$6,FALSE)*(1+$F$3)^(B167-1)</f>
        <v>59544.715131433681</v>
      </c>
      <c r="E167" s="33">
        <f>C167*VLOOKUP($A$159,Ταρίφες!$A$6:$G$23,$K$7,FALSE)*(1+$F$3)^(B167-1)</f>
        <v>41901.83657397185</v>
      </c>
      <c r="F167" s="46">
        <f t="shared" si="89"/>
        <v>-2108.9868858040782</v>
      </c>
      <c r="G167" s="47">
        <f t="shared" si="90"/>
        <v>-1171.6593810022655</v>
      </c>
      <c r="H167" s="47">
        <f t="shared" si="91"/>
        <v>-1405.9912572027185</v>
      </c>
      <c r="I167" s="46">
        <f t="shared" si="92"/>
        <v>-5272.4672145101949</v>
      </c>
      <c r="J167" s="47">
        <f t="shared" si="95"/>
        <v>-8980</v>
      </c>
      <c r="K167" s="47">
        <f t="shared" si="96"/>
        <v>-10557.45870215775</v>
      </c>
      <c r="L167" s="47">
        <f t="shared" si="97"/>
        <v>-5970.3102772176744</v>
      </c>
      <c r="M167" s="47">
        <f t="shared" si="98"/>
        <v>39028.151690756669</v>
      </c>
      <c r="N167" s="47">
        <f t="shared" si="99"/>
        <v>25972.421558234917</v>
      </c>
      <c r="O167" s="34"/>
      <c r="P167" s="36">
        <f t="shared" si="93"/>
        <v>0</v>
      </c>
      <c r="Q167" s="35"/>
      <c r="R167" s="33"/>
      <c r="S167" s="43"/>
      <c r="T167" s="19"/>
      <c r="U167" s="27">
        <f t="shared" si="100"/>
        <v>39028.151690756669</v>
      </c>
      <c r="V167" s="28">
        <f t="shared" si="100"/>
        <v>25972.421558234917</v>
      </c>
    </row>
    <row r="168" spans="1:22" hidden="1" outlineLevel="1" x14ac:dyDescent="0.25">
      <c r="A168" s="18"/>
      <c r="B168" s="38">
        <f t="shared" si="101"/>
        <v>10</v>
      </c>
      <c r="C168" s="54">
        <f t="shared" si="94"/>
        <v>145.5537480990601</v>
      </c>
      <c r="D168" s="33">
        <f>C168*VLOOKUP($A$159,Ταρίφες!$A$6:$G$23,$K$6,FALSE)*(1+$F$3)^(B168-1)</f>
        <v>58949.267980119344</v>
      </c>
      <c r="E168" s="33">
        <f>C168*VLOOKUP($A$159,Ταρίφες!$A$6:$G$23,$K$7,FALSE)*(1+$F$3)^(B168-1)</f>
        <v>41482.818208232129</v>
      </c>
      <c r="F168" s="46">
        <f t="shared" si="89"/>
        <v>-2151.1666235201596</v>
      </c>
      <c r="G168" s="47">
        <f t="shared" si="90"/>
        <v>-1195.0925686223109</v>
      </c>
      <c r="H168" s="47">
        <f t="shared" si="91"/>
        <v>-1434.1110823467729</v>
      </c>
      <c r="I168" s="46">
        <f t="shared" si="92"/>
        <v>-5377.9165588003989</v>
      </c>
      <c r="J168" s="47">
        <f t="shared" si="95"/>
        <v>-8980</v>
      </c>
      <c r="K168" s="47">
        <f t="shared" si="96"/>
        <v>-10350.855098175722</v>
      </c>
      <c r="L168" s="47">
        <f t="shared" si="97"/>
        <v>-5809.5781574850462</v>
      </c>
      <c r="M168" s="47">
        <f t="shared" si="98"/>
        <v>38440.126048653976</v>
      </c>
      <c r="N168" s="47">
        <f t="shared" si="99"/>
        <v>25514.953217457441</v>
      </c>
      <c r="O168" s="34"/>
      <c r="P168" s="36">
        <f t="shared" si="93"/>
        <v>0</v>
      </c>
      <c r="Q168" s="35"/>
      <c r="R168" s="33"/>
      <c r="S168" s="43"/>
      <c r="T168" s="19"/>
      <c r="U168" s="27">
        <f t="shared" si="100"/>
        <v>38440.126048653976</v>
      </c>
      <c r="V168" s="28">
        <f t="shared" si="100"/>
        <v>25514.953217457441</v>
      </c>
    </row>
    <row r="169" spans="1:22" hidden="1" outlineLevel="1" x14ac:dyDescent="0.25">
      <c r="A169" s="18"/>
      <c r="B169" s="38">
        <f t="shared" si="101"/>
        <v>11</v>
      </c>
      <c r="C169" s="54">
        <f t="shared" si="94"/>
        <v>144.09821061806949</v>
      </c>
      <c r="D169" s="33">
        <f>C169*VLOOKUP($A$159,Ταρίφες!$A$6:$G$23,$K$6,FALSE)*(1+$F$3)^(B169-1)</f>
        <v>58359.775300318142</v>
      </c>
      <c r="E169" s="33">
        <f>C169*VLOOKUP($A$159,Ταρίφες!$A$6:$G$23,$K$7,FALSE)*(1+$F$3)^(B169-1)</f>
        <v>41067.990026149804</v>
      </c>
      <c r="F169" s="46">
        <f t="shared" si="89"/>
        <v>-2194.1899559905628</v>
      </c>
      <c r="G169" s="47">
        <f t="shared" si="90"/>
        <v>-1218.9944199947572</v>
      </c>
      <c r="H169" s="47">
        <f t="shared" si="91"/>
        <v>-1462.7933039937086</v>
      </c>
      <c r="I169" s="46">
        <f t="shared" si="92"/>
        <v>-5485.4748899764072</v>
      </c>
      <c r="J169" s="47">
        <f t="shared" si="95"/>
        <v>-8980</v>
      </c>
      <c r="K169" s="47">
        <f t="shared" si="96"/>
        <v>-10144.763909894304</v>
      </c>
      <c r="L169" s="47">
        <f t="shared" si="97"/>
        <v>-5648.8997386105357</v>
      </c>
      <c r="M169" s="47">
        <f t="shared" si="98"/>
        <v>37853.558820468403</v>
      </c>
      <c r="N169" s="47">
        <f t="shared" si="99"/>
        <v>25057.637717583832</v>
      </c>
      <c r="O169" s="34"/>
      <c r="P169" s="36">
        <f t="shared" si="93"/>
        <v>0</v>
      </c>
      <c r="Q169" s="35"/>
      <c r="R169" s="33"/>
      <c r="S169" s="43"/>
      <c r="T169" s="19"/>
      <c r="U169" s="27">
        <f t="shared" si="100"/>
        <v>37853.558820468403</v>
      </c>
      <c r="V169" s="28">
        <f t="shared" si="100"/>
        <v>25057.637717583832</v>
      </c>
    </row>
    <row r="170" spans="1:22" hidden="1" outlineLevel="1" x14ac:dyDescent="0.25">
      <c r="A170" s="18"/>
      <c r="B170" s="38">
        <f t="shared" si="101"/>
        <v>12</v>
      </c>
      <c r="C170" s="54">
        <f t="shared" si="94"/>
        <v>142.6572285118888</v>
      </c>
      <c r="D170" s="33">
        <f>C170*VLOOKUP($A$159,Ταρίφες!$A$6:$G$23,$K$6,FALSE)*(1+$F$3)^(B170-1)</f>
        <v>57776.177547314968</v>
      </c>
      <c r="E170" s="33">
        <f>C170*VLOOKUP($A$159,Ταρίφες!$A$6:$G$23,$K$7,FALSE)*(1+$F$3)^(B170-1)</f>
        <v>40657.310125888311</v>
      </c>
      <c r="F170" s="46">
        <f t="shared" si="89"/>
        <v>-2238.0737551103734</v>
      </c>
      <c r="G170" s="47">
        <f t="shared" si="90"/>
        <v>-1243.374308394652</v>
      </c>
      <c r="H170" s="47">
        <f t="shared" si="91"/>
        <v>-1492.0491700735824</v>
      </c>
      <c r="I170" s="46">
        <f t="shared" si="92"/>
        <v>-5595.1843877759338</v>
      </c>
      <c r="J170" s="47">
        <f t="shared" si="95"/>
        <v>-8980</v>
      </c>
      <c r="K170" s="47">
        <f t="shared" si="96"/>
        <v>-9939.1489407497102</v>
      </c>
      <c r="L170" s="47">
        <f t="shared" si="97"/>
        <v>-5488.2434111787798</v>
      </c>
      <c r="M170" s="47">
        <f t="shared" si="98"/>
        <v>37268.346985210708</v>
      </c>
      <c r="N170" s="47">
        <f t="shared" si="99"/>
        <v>24600.385093354987</v>
      </c>
      <c r="O170" s="34"/>
      <c r="P170" s="36">
        <f t="shared" si="93"/>
        <v>0</v>
      </c>
      <c r="Q170" s="35"/>
      <c r="R170" s="33"/>
      <c r="S170" s="43"/>
      <c r="T170" s="19"/>
      <c r="U170" s="27">
        <f t="shared" si="100"/>
        <v>37268.346985210708</v>
      </c>
      <c r="V170" s="28">
        <f t="shared" si="100"/>
        <v>24600.385093354987</v>
      </c>
    </row>
    <row r="171" spans="1:22" hidden="1" outlineLevel="1" x14ac:dyDescent="0.25">
      <c r="A171" s="18"/>
      <c r="B171" s="38">
        <f t="shared" si="101"/>
        <v>13</v>
      </c>
      <c r="C171" s="54">
        <f t="shared" si="94"/>
        <v>141.23065622676992</v>
      </c>
      <c r="D171" s="33">
        <f>C171*VLOOKUP($A$159,Ταρίφες!$A$6:$G$23,$K$6,FALSE)*(1+$F$3)^(B171-1)</f>
        <v>57198.415771841821</v>
      </c>
      <c r="E171" s="33">
        <f>C171*VLOOKUP($A$159,Ταρίφες!$A$6:$G$23,$K$7,FALSE)*(1+$F$3)^(B171-1)</f>
        <v>40250.73702462943</v>
      </c>
      <c r="F171" s="46">
        <f t="shared" si="89"/>
        <v>-2282.8352302125813</v>
      </c>
      <c r="G171" s="47">
        <f t="shared" si="90"/>
        <v>-1268.2417945625452</v>
      </c>
      <c r="H171" s="47">
        <f t="shared" si="91"/>
        <v>-1521.8901534750544</v>
      </c>
      <c r="I171" s="46">
        <f t="shared" si="92"/>
        <v>-5707.0880755314538</v>
      </c>
      <c r="J171" s="47">
        <f t="shared" si="95"/>
        <v>-8980</v>
      </c>
      <c r="K171" s="47">
        <f t="shared" si="96"/>
        <v>-9733.9737346956499</v>
      </c>
      <c r="L171" s="47">
        <f t="shared" si="97"/>
        <v>-5327.5772604204276</v>
      </c>
      <c r="M171" s="47">
        <f t="shared" si="98"/>
        <v>36684.386783364534</v>
      </c>
      <c r="N171" s="47">
        <f t="shared" si="99"/>
        <v>24143.104510427369</v>
      </c>
      <c r="O171" s="34"/>
      <c r="P171" s="36">
        <f t="shared" si="93"/>
        <v>0</v>
      </c>
      <c r="Q171" s="35"/>
      <c r="R171" s="33"/>
      <c r="S171" s="43"/>
      <c r="T171" s="19"/>
      <c r="U171" s="27">
        <f t="shared" si="100"/>
        <v>36684.386783364534</v>
      </c>
      <c r="V171" s="28">
        <f t="shared" si="100"/>
        <v>24143.104510427369</v>
      </c>
    </row>
    <row r="172" spans="1:22" hidden="1" outlineLevel="1" x14ac:dyDescent="0.25">
      <c r="A172" s="18"/>
      <c r="B172" s="38">
        <f t="shared" si="101"/>
        <v>14</v>
      </c>
      <c r="C172" s="54">
        <f t="shared" si="94"/>
        <v>139.81834966450222</v>
      </c>
      <c r="D172" s="33">
        <f>C172*VLOOKUP($A$159,Ταρίφες!$A$6:$G$23,$K$6,FALSE)*(1+$F$3)^(B172-1)</f>
        <v>56626.431614123401</v>
      </c>
      <c r="E172" s="33">
        <f>C172*VLOOKUP($A$159,Ταρίφες!$A$6:$G$23,$K$7,FALSE)*(1+$F$3)^(B172-1)</f>
        <v>39848.229654383133</v>
      </c>
      <c r="F172" s="46">
        <f t="shared" si="89"/>
        <v>-2328.4919348168328</v>
      </c>
      <c r="G172" s="47">
        <f t="shared" si="90"/>
        <v>-1293.606630453796</v>
      </c>
      <c r="H172" s="47">
        <f t="shared" si="91"/>
        <v>-1552.3279565445553</v>
      </c>
      <c r="I172" s="46">
        <f t="shared" si="92"/>
        <v>-5821.2298370420822</v>
      </c>
      <c r="J172" s="47">
        <f t="shared" si="95"/>
        <v>-8980</v>
      </c>
      <c r="K172" s="47">
        <f t="shared" si="96"/>
        <v>-9529.2015663691946</v>
      </c>
      <c r="L172" s="47">
        <f t="shared" si="97"/>
        <v>-5166.8690568367247</v>
      </c>
      <c r="M172" s="47">
        <f t="shared" si="98"/>
        <v>36101.57368889694</v>
      </c>
      <c r="N172" s="47">
        <f t="shared" si="99"/>
        <v>23685.704238689141</v>
      </c>
      <c r="O172" s="34"/>
      <c r="P172" s="36">
        <f t="shared" si="93"/>
        <v>0</v>
      </c>
      <c r="Q172" s="35"/>
      <c r="R172" s="33"/>
      <c r="S172" s="43"/>
      <c r="T172" s="19"/>
      <c r="U172" s="27">
        <f t="shared" si="100"/>
        <v>36101.57368889694</v>
      </c>
      <c r="V172" s="28">
        <f t="shared" si="100"/>
        <v>23685.704238689141</v>
      </c>
    </row>
    <row r="173" spans="1:22" hidden="1" outlineLevel="1" x14ac:dyDescent="0.25">
      <c r="A173" s="18"/>
      <c r="B173" s="38">
        <f t="shared" si="101"/>
        <v>15</v>
      </c>
      <c r="C173" s="54">
        <f t="shared" si="94"/>
        <v>138.42016616785719</v>
      </c>
      <c r="D173" s="33">
        <f>C173*VLOOKUP($A$159,Ταρίφες!$A$6:$G$23,$K$6,FALSE)*(1+$F$3)^(B173-1)</f>
        <v>56060.16729798216</v>
      </c>
      <c r="E173" s="33">
        <f>C173*VLOOKUP($A$159,Ταρίφες!$A$6:$G$23,$K$7,FALSE)*(1+$F$3)^(B173-1)</f>
        <v>39449.747357839296</v>
      </c>
      <c r="F173" s="46">
        <f t="shared" si="89"/>
        <v>-2375.06177351317</v>
      </c>
      <c r="G173" s="47">
        <f t="shared" si="90"/>
        <v>-1319.4787630628721</v>
      </c>
      <c r="H173" s="47">
        <f t="shared" si="91"/>
        <v>-1583.3745156754467</v>
      </c>
      <c r="I173" s="46">
        <f t="shared" si="92"/>
        <v>-5937.6544337829246</v>
      </c>
      <c r="J173" s="47">
        <f t="shared" si="95"/>
        <v>-8980</v>
      </c>
      <c r="K173" s="47">
        <f t="shared" si="96"/>
        <v>-9324.795431106415</v>
      </c>
      <c r="L173" s="47">
        <f t="shared" si="97"/>
        <v>-5006.0862466692697</v>
      </c>
      <c r="M173" s="47">
        <f t="shared" si="98"/>
        <v>35519.802380841335</v>
      </c>
      <c r="N173" s="47">
        <f t="shared" si="99"/>
        <v>23228.091625135614</v>
      </c>
      <c r="O173" s="34"/>
      <c r="P173" s="36">
        <f t="shared" si="93"/>
        <v>0</v>
      </c>
      <c r="Q173" s="35"/>
      <c r="R173" s="33"/>
      <c r="S173" s="43"/>
      <c r="T173" s="19"/>
      <c r="U173" s="27">
        <f t="shared" si="100"/>
        <v>35519.802380841335</v>
      </c>
      <c r="V173" s="28">
        <f t="shared" si="100"/>
        <v>23228.091625135614</v>
      </c>
    </row>
    <row r="174" spans="1:22" hidden="1" outlineLevel="1" x14ac:dyDescent="0.25">
      <c r="A174" s="18"/>
      <c r="B174" s="38">
        <f t="shared" si="101"/>
        <v>16</v>
      </c>
      <c r="C174" s="54">
        <f t="shared" si="94"/>
        <v>137.03596450617863</v>
      </c>
      <c r="D174" s="33">
        <f>C174*VLOOKUP($A$159,Ταρίφες!$A$6:$G$23,$K$6,FALSE)*(1+$F$3)^(B174-1)</f>
        <v>55499.565625002346</v>
      </c>
      <c r="E174" s="33">
        <f>C174*VLOOKUP($A$159,Ταρίφες!$A$6:$G$23,$K$7,FALSE)*(1+$F$3)^(B174-1)</f>
        <v>39055.249884260913</v>
      </c>
      <c r="F174" s="46">
        <f t="shared" si="89"/>
        <v>-2422.5630089834326</v>
      </c>
      <c r="G174" s="47">
        <f t="shared" si="90"/>
        <v>-1345.8683383241291</v>
      </c>
      <c r="H174" s="47">
        <f t="shared" si="91"/>
        <v>-1615.042005988955</v>
      </c>
      <c r="I174" s="46">
        <f t="shared" si="92"/>
        <v>-6056.4075224585813</v>
      </c>
      <c r="J174" s="47">
        <f t="shared" si="95"/>
        <v>-8980</v>
      </c>
      <c r="K174" s="47">
        <f t="shared" si="96"/>
        <v>-9120.7180348042839</v>
      </c>
      <c r="L174" s="47">
        <f t="shared" si="97"/>
        <v>-4845.1959422115124</v>
      </c>
      <c r="M174" s="47">
        <f t="shared" si="98"/>
        <v>34938.966714442962</v>
      </c>
      <c r="N174" s="47">
        <f t="shared" si="99"/>
        <v>22770.173066294301</v>
      </c>
      <c r="O174" s="34"/>
      <c r="P174" s="36">
        <f t="shared" si="93"/>
        <v>0</v>
      </c>
      <c r="Q174" s="35"/>
      <c r="R174" s="33"/>
      <c r="S174" s="43"/>
      <c r="T174" s="19"/>
      <c r="U174" s="27">
        <f t="shared" si="100"/>
        <v>34938.966714442962</v>
      </c>
      <c r="V174" s="28">
        <f t="shared" si="100"/>
        <v>22770.173066294301</v>
      </c>
    </row>
    <row r="175" spans="1:22" hidden="1" outlineLevel="1" x14ac:dyDescent="0.25">
      <c r="A175" s="18"/>
      <c r="B175" s="38">
        <f t="shared" si="101"/>
        <v>17</v>
      </c>
      <c r="C175" s="54">
        <f t="shared" si="94"/>
        <v>135.66560486111683</v>
      </c>
      <c r="D175" s="33">
        <f>C175*VLOOKUP($A$159,Ταρίφες!$A$6:$G$23,$K$6,FALSE)*(1+$F$3)^(B175-1)</f>
        <v>54944.569968752316</v>
      </c>
      <c r="E175" s="33">
        <f>C175*VLOOKUP($A$159,Ταρίφες!$A$6:$G$23,$K$7,FALSE)*(1+$F$3)^(B175-1)</f>
        <v>38664.697385418294</v>
      </c>
      <c r="F175" s="46">
        <f t="shared" si="89"/>
        <v>-2471.0142691631017</v>
      </c>
      <c r="G175" s="47">
        <f t="shared" si="90"/>
        <v>-1372.7857050906121</v>
      </c>
      <c r="H175" s="47">
        <f t="shared" si="91"/>
        <v>-1647.3428461087344</v>
      </c>
      <c r="I175" s="46">
        <f t="shared" si="92"/>
        <v>-6177.5356729077539</v>
      </c>
      <c r="J175" s="47">
        <f t="shared" si="95"/>
        <v>-8980</v>
      </c>
      <c r="K175" s="47">
        <f t="shared" si="96"/>
        <v>-8916.9317836253504</v>
      </c>
      <c r="L175" s="47">
        <f t="shared" si="97"/>
        <v>-4684.1649119585036</v>
      </c>
      <c r="M175" s="47">
        <f t="shared" si="98"/>
        <v>34358.959691856769</v>
      </c>
      <c r="N175" s="47">
        <f t="shared" si="99"/>
        <v>22311.853980189589</v>
      </c>
      <c r="O175" s="34"/>
      <c r="P175" s="36">
        <f t="shared" si="93"/>
        <v>0</v>
      </c>
      <c r="Q175" s="35"/>
      <c r="R175" s="33"/>
      <c r="S175" s="43"/>
      <c r="T175" s="19"/>
      <c r="U175" s="27">
        <f t="shared" si="100"/>
        <v>34358.959691856769</v>
      </c>
      <c r="V175" s="28">
        <f t="shared" si="100"/>
        <v>22311.853980189589</v>
      </c>
    </row>
    <row r="176" spans="1:22" hidden="1" outlineLevel="1" x14ac:dyDescent="0.25">
      <c r="A176" s="18"/>
      <c r="B176" s="38">
        <f t="shared" si="101"/>
        <v>18</v>
      </c>
      <c r="C176" s="54">
        <f t="shared" si="94"/>
        <v>134.30894881250566</v>
      </c>
      <c r="D176" s="33">
        <f>C176*VLOOKUP($A$159,Ταρίφες!$A$6:$G$23,$K$6,FALSE)*(1+$F$3)^(B176-1)</f>
        <v>54395.124269064792</v>
      </c>
      <c r="E176" s="33">
        <f>C176*VLOOKUP($A$159,Ταρίφες!$A$6:$G$23,$K$7,FALSE)*(1+$F$3)^(B176-1)</f>
        <v>38278.050411564116</v>
      </c>
      <c r="F176" s="46">
        <f t="shared" si="89"/>
        <v>-2520.4345545463639</v>
      </c>
      <c r="G176" s="47">
        <f t="shared" si="90"/>
        <v>-1400.2414191924245</v>
      </c>
      <c r="H176" s="47">
        <f t="shared" si="91"/>
        <v>-1680.2897030309093</v>
      </c>
      <c r="I176" s="46">
        <f t="shared" si="92"/>
        <v>-6301.0863863659097</v>
      </c>
      <c r="J176" s="47">
        <f t="shared" si="95"/>
        <v>-8980</v>
      </c>
      <c r="K176" s="47">
        <f t="shared" si="96"/>
        <v>-8713.3987735415885</v>
      </c>
      <c r="L176" s="47">
        <f t="shared" si="97"/>
        <v>-4522.9595705914126</v>
      </c>
      <c r="M176" s="47">
        <f t="shared" si="98"/>
        <v>33779.673432387601</v>
      </c>
      <c r="N176" s="47">
        <f t="shared" si="99"/>
        <v>21853.038777837093</v>
      </c>
      <c r="O176" s="34"/>
      <c r="P176" s="36">
        <f t="shared" si="93"/>
        <v>0</v>
      </c>
      <c r="Q176" s="35"/>
      <c r="R176" s="33"/>
      <c r="S176" s="43"/>
      <c r="T176" s="19"/>
      <c r="U176" s="27">
        <f t="shared" si="100"/>
        <v>33779.673432387601</v>
      </c>
      <c r="V176" s="28">
        <f t="shared" si="100"/>
        <v>21853.038777837093</v>
      </c>
    </row>
    <row r="177" spans="1:22" hidden="1" outlineLevel="1" x14ac:dyDescent="0.25">
      <c r="A177" s="18"/>
      <c r="B177" s="38">
        <f t="shared" si="101"/>
        <v>19</v>
      </c>
      <c r="C177" s="54">
        <f t="shared" si="94"/>
        <v>132.9658593243806</v>
      </c>
      <c r="D177" s="33">
        <f>C177*VLOOKUP($A$159,Ταρίφες!$A$6:$G$23,$K$6,FALSE)*(1+$F$3)^(B177-1)</f>
        <v>53851.173026374141</v>
      </c>
      <c r="E177" s="33">
        <f>C177*VLOOKUP($A$159,Ταρίφες!$A$6:$G$23,$K$7,FALSE)*(1+$F$3)^(B177-1)</f>
        <v>37895.26990744847</v>
      </c>
      <c r="F177" s="46">
        <f t="shared" si="89"/>
        <v>-2570.8432456372907</v>
      </c>
      <c r="G177" s="47">
        <f t="shared" si="90"/>
        <v>-1428.2462475762727</v>
      </c>
      <c r="H177" s="47">
        <f t="shared" si="91"/>
        <v>-1713.8954970915272</v>
      </c>
      <c r="I177" s="46">
        <f t="shared" si="92"/>
        <v>-6427.1081140932274</v>
      </c>
      <c r="J177" s="47">
        <f t="shared" si="95"/>
        <v>-8980</v>
      </c>
      <c r="K177" s="47">
        <f t="shared" si="96"/>
        <v>-8510.0807797137149</v>
      </c>
      <c r="L177" s="47">
        <f t="shared" si="97"/>
        <v>-4361.5459687930397</v>
      </c>
      <c r="M177" s="47">
        <f t="shared" si="98"/>
        <v>33200.999142262102</v>
      </c>
      <c r="N177" s="47">
        <f t="shared" si="99"/>
        <v>21393.630834257114</v>
      </c>
      <c r="O177" s="34"/>
      <c r="P177" s="36">
        <f t="shared" si="93"/>
        <v>0</v>
      </c>
      <c r="Q177" s="35"/>
      <c r="R177" s="33"/>
      <c r="S177" s="43"/>
      <c r="T177" s="19"/>
      <c r="U177" s="27">
        <f t="shared" si="100"/>
        <v>33200.999142262102</v>
      </c>
      <c r="V177" s="28">
        <f t="shared" si="100"/>
        <v>21393.630834257114</v>
      </c>
    </row>
    <row r="178" spans="1:22" hidden="1" outlineLevel="1" x14ac:dyDescent="0.25">
      <c r="A178" s="18"/>
      <c r="B178" s="38">
        <f>B177+1</f>
        <v>20</v>
      </c>
      <c r="C178" s="54">
        <f>C177*(1-$F$2)</f>
        <v>131.6362007311368</v>
      </c>
      <c r="D178" s="33">
        <f>C178*VLOOKUP($A$159,Ταρίφες!$A$6:$G$23,$K$6,FALSE)*(1+$F$3)^(B178-1)</f>
        <v>53312.661296110404</v>
      </c>
      <c r="E178" s="33">
        <f>C178*VLOOKUP($A$159,Ταρίφες!$A$6:$G$23,$K$7,FALSE)*(1+$F$3)^(B178-1)</f>
        <v>37516.317208373985</v>
      </c>
      <c r="F178" s="46">
        <f t="shared" si="89"/>
        <v>-2622.2601105500366</v>
      </c>
      <c r="G178" s="47">
        <f t="shared" si="90"/>
        <v>-1456.8111725277981</v>
      </c>
      <c r="H178" s="47">
        <f>-$K$4*(1+$F$4)^(B178-$B$12)</f>
        <v>-1748.1734070333578</v>
      </c>
      <c r="I178" s="46">
        <f>-(4500*(1+$F$4)^(B178-$B$12))</f>
        <v>-6555.6502763750914</v>
      </c>
      <c r="J178" s="47">
        <f t="shared" si="95"/>
        <v>-8980</v>
      </c>
      <c r="K178" s="47">
        <f>-(D178+SUM(F178:J178))*$F$5</f>
        <v>-8306.9392457022714</v>
      </c>
      <c r="L178" s="47">
        <f>-(E178+SUM(F178:J178))*$F$5</f>
        <v>-4199.8897828908021</v>
      </c>
      <c r="M178" s="47">
        <f>D178+SUM(F178:I178)+K178</f>
        <v>32622.827083921853</v>
      </c>
      <c r="N178" s="47">
        <f>E178+SUM(F178:I178)+L178</f>
        <v>20933.532458996899</v>
      </c>
      <c r="O178" s="34"/>
      <c r="P178" s="36">
        <f t="shared" si="93"/>
        <v>0</v>
      </c>
      <c r="Q178" s="35"/>
      <c r="R178" s="33"/>
      <c r="S178" s="43"/>
      <c r="T178" s="19"/>
      <c r="U178" s="27">
        <f>M178</f>
        <v>32622.827083921853</v>
      </c>
      <c r="V178" s="28">
        <f>N178</f>
        <v>20933.532458996899</v>
      </c>
    </row>
    <row r="179" spans="1:22" s="40" customFormat="1" hidden="1" outlineLevel="1" x14ac:dyDescent="0.25">
      <c r="O179" s="17"/>
      <c r="P179" s="36">
        <f t="shared" si="93"/>
        <v>0</v>
      </c>
      <c r="Q179" s="25"/>
      <c r="R179" s="22"/>
      <c r="S179" s="52"/>
      <c r="T179" s="44"/>
      <c r="U179" s="74">
        <f>O180</f>
        <v>-199500</v>
      </c>
      <c r="V179" s="74">
        <f>R180</f>
        <v>-144046.1545323953</v>
      </c>
    </row>
    <row r="180" spans="1:22" collapsed="1" x14ac:dyDescent="0.25">
      <c r="A180" s="32" t="str">
        <f>Ταρίφες!A18</f>
        <v>Α Τριμ. 2012</v>
      </c>
      <c r="B180" s="38">
        <f>1</f>
        <v>1</v>
      </c>
      <c r="C180" s="54">
        <f>$F$8*$K$2/1000</f>
        <v>159.33333333333331</v>
      </c>
      <c r="D180" s="33">
        <f>C180*VLOOKUP($A$180,Ταρίφες!$A$6:$G$23,$K$6,FALSE)*(1+$F$3)^(B180-1)</f>
        <v>59749.999999999993</v>
      </c>
      <c r="E180" s="33">
        <f>C180*VLOOKUP($A$180,Ταρίφες!$A$6:$G$23,$K$7,FALSE)*(1+$F$3)^(B180-1)</f>
        <v>42223.333333333328</v>
      </c>
      <c r="F180" s="46">
        <f t="shared" ref="F180:F199" si="102">-($K$5*(1+$F$4)^(B180-$B$12))</f>
        <v>-1800</v>
      </c>
      <c r="G180" s="47">
        <f t="shared" ref="G180:G199" si="103">-$K$2*10*(1+$F$4)^(B180-$B$12)</f>
        <v>-1000</v>
      </c>
      <c r="H180" s="47">
        <f t="shared" ref="H180:H198" si="104">-$K$4*(1+$F$4)^(B180-$B$12)</f>
        <v>-1200</v>
      </c>
      <c r="I180" s="46">
        <f t="shared" ref="I180:I198" si="105">-(4500*(1+$F$4)^(B180-$B$12))</f>
        <v>-4500</v>
      </c>
      <c r="J180" s="47">
        <f>$O$180*4%</f>
        <v>-7980</v>
      </c>
      <c r="K180" s="47">
        <f>-(D180+SUM(F180:J180))*$F$5</f>
        <v>-11250.199999999999</v>
      </c>
      <c r="L180" s="47">
        <f>-(E180+SUM(F180:J180))*$F$5</f>
        <v>-6693.2666666666655</v>
      </c>
      <c r="M180" s="47">
        <f>D180+SUM(F180:I180)+K180</f>
        <v>39999.799999999996</v>
      </c>
      <c r="N180" s="47">
        <f>E180+SUM(F180:I180)+L180</f>
        <v>27030.066666666662</v>
      </c>
      <c r="O180" s="35">
        <f>-VLOOKUP(A180,'Κόστος Κατασκευής'!$A$4:$Q$17,$K$8,FALSE)</f>
        <v>-199500</v>
      </c>
      <c r="P180" s="36">
        <f>-0.4*O180</f>
        <v>79800</v>
      </c>
      <c r="Q180" s="36">
        <f>Q159*15/16</f>
        <v>-24346.154532395303</v>
      </c>
      <c r="R180" s="37">
        <f>SUM(O180:Q180)</f>
        <v>-144046.1545323953</v>
      </c>
      <c r="S180" s="42">
        <f>IRR(U179:U199)</f>
        <v>0.1802027048627477</v>
      </c>
      <c r="T180" s="42">
        <f>IRR(V179:V199)</f>
        <v>0.16393844654257039</v>
      </c>
      <c r="U180" s="27">
        <f>M180</f>
        <v>39999.799999999996</v>
      </c>
      <c r="V180" s="28">
        <f>N180</f>
        <v>27030.066666666662</v>
      </c>
    </row>
    <row r="181" spans="1:22" hidden="1" outlineLevel="1" x14ac:dyDescent="0.25">
      <c r="A181" s="18"/>
      <c r="B181" s="38">
        <f>B180+1</f>
        <v>2</v>
      </c>
      <c r="C181" s="54">
        <f t="shared" ref="C181:C198" si="106">C180*(1-$F$2)</f>
        <v>157.73999999999998</v>
      </c>
      <c r="D181" s="33">
        <f>C181*VLOOKUP($A$180,Ταρίφες!$A$6:$G$23,$K$6,FALSE)*(1+$F$3)^(B181-1)</f>
        <v>59152.499999999993</v>
      </c>
      <c r="E181" s="33">
        <f>C181*VLOOKUP($A$180,Ταρίφες!$A$6:$G$23,$K$7,FALSE)*(1+$F$3)^(B181-1)</f>
        <v>41801.099999999991</v>
      </c>
      <c r="F181" s="46">
        <f t="shared" si="102"/>
        <v>-1836</v>
      </c>
      <c r="G181" s="47">
        <f t="shared" si="103"/>
        <v>-1020</v>
      </c>
      <c r="H181" s="47">
        <f t="shared" si="104"/>
        <v>-1224</v>
      </c>
      <c r="I181" s="46">
        <f t="shared" si="105"/>
        <v>-4590</v>
      </c>
      <c r="J181" s="47">
        <f t="shared" ref="J181:J199" si="107">$O$180*4%</f>
        <v>-7980</v>
      </c>
      <c r="K181" s="47">
        <f t="shared" ref="K181:K198" si="108">-(D181+SUM(F181:J181))*$F$5</f>
        <v>-11050.649999999998</v>
      </c>
      <c r="L181" s="47">
        <f t="shared" ref="L181:L198" si="109">-(E181+SUM(F181:J181))*$F$5</f>
        <v>-6539.2859999999982</v>
      </c>
      <c r="M181" s="47">
        <f t="shared" ref="M181:M198" si="110">D181+SUM(F181:I181)+K181</f>
        <v>39431.849999999991</v>
      </c>
      <c r="N181" s="47">
        <f t="shared" ref="N181:N198" si="111">E181+SUM(F181:I181)+L181</f>
        <v>26591.813999999991</v>
      </c>
      <c r="O181" s="34"/>
      <c r="P181" s="36">
        <f t="shared" ref="P181:P244" si="112">-0.4*O181</f>
        <v>0</v>
      </c>
      <c r="Q181" s="35"/>
      <c r="R181" s="33"/>
      <c r="S181" s="43"/>
      <c r="T181" s="19"/>
      <c r="U181" s="27">
        <f t="shared" ref="U181:V198" si="113">M181</f>
        <v>39431.849999999991</v>
      </c>
      <c r="V181" s="28">
        <f t="shared" si="113"/>
        <v>26591.813999999991</v>
      </c>
    </row>
    <row r="182" spans="1:22" hidden="1" outlineLevel="1" x14ac:dyDescent="0.25">
      <c r="A182" s="18"/>
      <c r="B182" s="38">
        <f t="shared" ref="B182:B198" si="114">B181+1</f>
        <v>3</v>
      </c>
      <c r="C182" s="54">
        <f t="shared" si="106"/>
        <v>156.16259999999997</v>
      </c>
      <c r="D182" s="33">
        <f>C182*VLOOKUP($A$180,Ταρίφες!$A$6:$G$23,$K$6,FALSE)*(1+$F$3)^(B182-1)</f>
        <v>58560.974999999991</v>
      </c>
      <c r="E182" s="33">
        <f>C182*VLOOKUP($A$180,Ταρίφες!$A$6:$G$23,$K$7,FALSE)*(1+$F$3)^(B182-1)</f>
        <v>41383.088999999993</v>
      </c>
      <c r="F182" s="46">
        <f t="shared" si="102"/>
        <v>-1872.72</v>
      </c>
      <c r="G182" s="47">
        <f t="shared" si="103"/>
        <v>-1040.4000000000001</v>
      </c>
      <c r="H182" s="47">
        <f t="shared" si="104"/>
        <v>-1248.48</v>
      </c>
      <c r="I182" s="46">
        <f t="shared" si="105"/>
        <v>-4681.8</v>
      </c>
      <c r="J182" s="47">
        <f t="shared" si="107"/>
        <v>-7980</v>
      </c>
      <c r="K182" s="47">
        <f t="shared" si="108"/>
        <v>-10851.769499999999</v>
      </c>
      <c r="L182" s="47">
        <f t="shared" si="109"/>
        <v>-6385.5191399999976</v>
      </c>
      <c r="M182" s="47">
        <f t="shared" si="110"/>
        <v>38865.805499999988</v>
      </c>
      <c r="N182" s="47">
        <f t="shared" si="111"/>
        <v>26154.169859999995</v>
      </c>
      <c r="O182" s="34"/>
      <c r="P182" s="36">
        <f t="shared" si="112"/>
        <v>0</v>
      </c>
      <c r="Q182" s="35"/>
      <c r="R182" s="33"/>
      <c r="S182" s="43"/>
      <c r="T182" s="19"/>
      <c r="U182" s="27">
        <f t="shared" si="113"/>
        <v>38865.805499999988</v>
      </c>
      <c r="V182" s="28">
        <f t="shared" si="113"/>
        <v>26154.169859999995</v>
      </c>
    </row>
    <row r="183" spans="1:22" hidden="1" outlineLevel="1" x14ac:dyDescent="0.25">
      <c r="A183" s="18"/>
      <c r="B183" s="38">
        <f t="shared" si="114"/>
        <v>4</v>
      </c>
      <c r="C183" s="54">
        <f t="shared" si="106"/>
        <v>154.60097399999998</v>
      </c>
      <c r="D183" s="33">
        <f>C183*VLOOKUP($A$180,Ταρίφες!$A$6:$G$23,$K$6,FALSE)*(1+$F$3)^(B183-1)</f>
        <v>57975.365249999995</v>
      </c>
      <c r="E183" s="33">
        <f>C183*VLOOKUP($A$180,Ταρίφες!$A$6:$G$23,$K$7,FALSE)*(1+$F$3)^(B183-1)</f>
        <v>40969.258109999995</v>
      </c>
      <c r="F183" s="46">
        <f t="shared" si="102"/>
        <v>-1910.1743999999999</v>
      </c>
      <c r="G183" s="47">
        <f t="shared" si="103"/>
        <v>-1061.2079999999999</v>
      </c>
      <c r="H183" s="47">
        <f t="shared" si="104"/>
        <v>-1273.4495999999999</v>
      </c>
      <c r="I183" s="46">
        <f t="shared" si="105"/>
        <v>-4775.4359999999997</v>
      </c>
      <c r="J183" s="47">
        <f t="shared" si="107"/>
        <v>-7980</v>
      </c>
      <c r="K183" s="47">
        <f t="shared" si="108"/>
        <v>-10653.525284999998</v>
      </c>
      <c r="L183" s="47">
        <f t="shared" si="109"/>
        <v>-6231.9374285999993</v>
      </c>
      <c r="M183" s="47">
        <f t="shared" si="110"/>
        <v>38301.571964999996</v>
      </c>
      <c r="N183" s="47">
        <f t="shared" si="111"/>
        <v>25717.052681399997</v>
      </c>
      <c r="O183" s="34"/>
      <c r="P183" s="36">
        <f t="shared" si="112"/>
        <v>0</v>
      </c>
      <c r="Q183" s="35"/>
      <c r="R183" s="33"/>
      <c r="S183" s="43"/>
      <c r="T183" s="19"/>
      <c r="U183" s="27">
        <f t="shared" si="113"/>
        <v>38301.571964999996</v>
      </c>
      <c r="V183" s="28">
        <f t="shared" si="113"/>
        <v>25717.052681399997</v>
      </c>
    </row>
    <row r="184" spans="1:22" hidden="1" outlineLevel="1" x14ac:dyDescent="0.25">
      <c r="A184" s="18"/>
      <c r="B184" s="38">
        <f t="shared" si="114"/>
        <v>5</v>
      </c>
      <c r="C184" s="54">
        <f t="shared" si="106"/>
        <v>153.05496425999999</v>
      </c>
      <c r="D184" s="33">
        <f>C184*VLOOKUP($A$180,Ταρίφες!$A$6:$G$23,$K$6,FALSE)*(1+$F$3)^(B184-1)</f>
        <v>57395.611597499999</v>
      </c>
      <c r="E184" s="33">
        <f>C184*VLOOKUP($A$180,Ταρίφες!$A$6:$G$23,$K$7,FALSE)*(1+$F$3)^(B184-1)</f>
        <v>40559.565528899999</v>
      </c>
      <c r="F184" s="46">
        <f t="shared" si="102"/>
        <v>-1948.377888</v>
      </c>
      <c r="G184" s="47">
        <f t="shared" si="103"/>
        <v>-1082.4321600000001</v>
      </c>
      <c r="H184" s="47">
        <f t="shared" si="104"/>
        <v>-1298.918592</v>
      </c>
      <c r="I184" s="46">
        <f t="shared" si="105"/>
        <v>-4870.9447199999995</v>
      </c>
      <c r="J184" s="47">
        <f t="shared" si="107"/>
        <v>-7980</v>
      </c>
      <c r="K184" s="47">
        <f t="shared" si="108"/>
        <v>-10455.88394175</v>
      </c>
      <c r="L184" s="47">
        <f t="shared" si="109"/>
        <v>-6078.5119639139994</v>
      </c>
      <c r="M184" s="47">
        <f t="shared" si="110"/>
        <v>37739.05429575</v>
      </c>
      <c r="N184" s="47">
        <f t="shared" si="111"/>
        <v>25280.380204985999</v>
      </c>
      <c r="O184" s="34"/>
      <c r="P184" s="36">
        <f t="shared" si="112"/>
        <v>0</v>
      </c>
      <c r="Q184" s="35"/>
      <c r="R184" s="33"/>
      <c r="S184" s="43"/>
      <c r="T184" s="19"/>
      <c r="U184" s="27">
        <f t="shared" si="113"/>
        <v>37739.05429575</v>
      </c>
      <c r="V184" s="28">
        <f t="shared" si="113"/>
        <v>25280.380204985999</v>
      </c>
    </row>
    <row r="185" spans="1:22" hidden="1" outlineLevel="1" x14ac:dyDescent="0.25">
      <c r="A185" s="18"/>
      <c r="B185" s="38">
        <f t="shared" si="114"/>
        <v>6</v>
      </c>
      <c r="C185" s="54">
        <f t="shared" si="106"/>
        <v>151.5244146174</v>
      </c>
      <c r="D185" s="33">
        <f>C185*VLOOKUP($A$180,Ταρίφες!$A$6:$G$23,$K$6,FALSE)*(1+$F$3)^(B185-1)</f>
        <v>56821.655481524998</v>
      </c>
      <c r="E185" s="33">
        <f>C185*VLOOKUP($A$180,Ταρίφες!$A$6:$G$23,$K$7,FALSE)*(1+$F$3)^(B185-1)</f>
        <v>40153.969873611</v>
      </c>
      <c r="F185" s="46">
        <f t="shared" si="102"/>
        <v>-1987.3454457600001</v>
      </c>
      <c r="G185" s="47">
        <f t="shared" si="103"/>
        <v>-1104.0808032</v>
      </c>
      <c r="H185" s="47">
        <f t="shared" si="104"/>
        <v>-1324.8969638400001</v>
      </c>
      <c r="I185" s="46">
        <f t="shared" si="105"/>
        <v>-4968.3636144000002</v>
      </c>
      <c r="J185" s="47">
        <f t="shared" si="107"/>
        <v>-7980</v>
      </c>
      <c r="K185" s="47">
        <f t="shared" si="108"/>
        <v>-10258.811850124501</v>
      </c>
      <c r="L185" s="47">
        <f t="shared" si="109"/>
        <v>-5925.2135920668607</v>
      </c>
      <c r="M185" s="47">
        <f t="shared" si="110"/>
        <v>37178.156804200495</v>
      </c>
      <c r="N185" s="47">
        <f t="shared" si="111"/>
        <v>24844.069454344142</v>
      </c>
      <c r="O185" s="34"/>
      <c r="P185" s="36">
        <f t="shared" si="112"/>
        <v>0</v>
      </c>
      <c r="Q185" s="35"/>
      <c r="R185" s="33"/>
      <c r="S185" s="43"/>
      <c r="T185" s="19"/>
      <c r="U185" s="27">
        <f t="shared" si="113"/>
        <v>37178.156804200495</v>
      </c>
      <c r="V185" s="28">
        <f t="shared" si="113"/>
        <v>24844.069454344142</v>
      </c>
    </row>
    <row r="186" spans="1:22" hidden="1" outlineLevel="1" x14ac:dyDescent="0.25">
      <c r="A186" s="18"/>
      <c r="B186" s="38">
        <f t="shared" si="114"/>
        <v>7</v>
      </c>
      <c r="C186" s="54">
        <f t="shared" si="106"/>
        <v>150.00917047122599</v>
      </c>
      <c r="D186" s="33">
        <f>C186*VLOOKUP($A$180,Ταρίφες!$A$6:$G$23,$K$6,FALSE)*(1+$F$3)^(B186-1)</f>
        <v>56253.438926709743</v>
      </c>
      <c r="E186" s="33">
        <f>C186*VLOOKUP($A$180,Ταρίφες!$A$6:$G$23,$K$7,FALSE)*(1+$F$3)^(B186-1)</f>
        <v>39752.430174874884</v>
      </c>
      <c r="F186" s="46">
        <f t="shared" si="102"/>
        <v>-2027.0923546752001</v>
      </c>
      <c r="G186" s="47">
        <f t="shared" si="103"/>
        <v>-1126.1624192640002</v>
      </c>
      <c r="H186" s="47">
        <f t="shared" si="104"/>
        <v>-1351.3949031168002</v>
      </c>
      <c r="I186" s="46">
        <f t="shared" si="105"/>
        <v>-5067.7308866880003</v>
      </c>
      <c r="J186" s="47">
        <f t="shared" si="107"/>
        <v>-7980</v>
      </c>
      <c r="K186" s="47">
        <f t="shared" si="108"/>
        <v>-10062.275174371092</v>
      </c>
      <c r="L186" s="47">
        <f t="shared" si="109"/>
        <v>-5772.0128988940296</v>
      </c>
      <c r="M186" s="47">
        <f t="shared" si="110"/>
        <v>36618.783188594651</v>
      </c>
      <c r="N186" s="47">
        <f t="shared" si="111"/>
        <v>24408.036712236852</v>
      </c>
      <c r="O186" s="34"/>
      <c r="P186" s="36">
        <f t="shared" si="112"/>
        <v>0</v>
      </c>
      <c r="Q186" s="35"/>
      <c r="R186" s="33"/>
      <c r="S186" s="43"/>
      <c r="T186" s="19"/>
      <c r="U186" s="27">
        <f t="shared" si="113"/>
        <v>36618.783188594651</v>
      </c>
      <c r="V186" s="28">
        <f t="shared" si="113"/>
        <v>24408.036712236852</v>
      </c>
    </row>
    <row r="187" spans="1:22" hidden="1" outlineLevel="1" x14ac:dyDescent="0.25">
      <c r="A187" s="18"/>
      <c r="B187" s="38">
        <f t="shared" si="114"/>
        <v>8</v>
      </c>
      <c r="C187" s="54">
        <f t="shared" si="106"/>
        <v>148.50907876651374</v>
      </c>
      <c r="D187" s="33">
        <f>C187*VLOOKUP($A$180,Ταρίφες!$A$6:$G$23,$K$6,FALSE)*(1+$F$3)^(B187-1)</f>
        <v>55690.90453744265</v>
      </c>
      <c r="E187" s="33">
        <f>C187*VLOOKUP($A$180,Ταρίφες!$A$6:$G$23,$K$7,FALSE)*(1+$F$3)^(B187-1)</f>
        <v>39354.905873126139</v>
      </c>
      <c r="F187" s="46">
        <f t="shared" si="102"/>
        <v>-2067.6342017687039</v>
      </c>
      <c r="G187" s="47">
        <f t="shared" si="103"/>
        <v>-1148.6856676492798</v>
      </c>
      <c r="H187" s="47">
        <f t="shared" si="104"/>
        <v>-1378.4228011791358</v>
      </c>
      <c r="I187" s="46">
        <f t="shared" si="105"/>
        <v>-5169.0855044217587</v>
      </c>
      <c r="J187" s="47">
        <f t="shared" si="107"/>
        <v>-7980</v>
      </c>
      <c r="K187" s="47">
        <f t="shared" si="108"/>
        <v>-9866.2398542301817</v>
      </c>
      <c r="L187" s="47">
        <f t="shared" si="109"/>
        <v>-5618.8802015078882</v>
      </c>
      <c r="M187" s="47">
        <f t="shared" si="110"/>
        <v>36060.836508193592</v>
      </c>
      <c r="N187" s="47">
        <f t="shared" si="111"/>
        <v>23972.197496599376</v>
      </c>
      <c r="O187" s="34"/>
      <c r="P187" s="36">
        <f t="shared" si="112"/>
        <v>0</v>
      </c>
      <c r="Q187" s="35"/>
      <c r="R187" s="33"/>
      <c r="S187" s="43"/>
      <c r="T187" s="19"/>
      <c r="U187" s="27">
        <f t="shared" si="113"/>
        <v>36060.836508193592</v>
      </c>
      <c r="V187" s="28">
        <f t="shared" si="113"/>
        <v>23972.197496599376</v>
      </c>
    </row>
    <row r="188" spans="1:22" hidden="1" outlineLevel="1" x14ac:dyDescent="0.25">
      <c r="A188" s="18"/>
      <c r="B188" s="38">
        <f t="shared" si="114"/>
        <v>9</v>
      </c>
      <c r="C188" s="54">
        <f t="shared" si="106"/>
        <v>147.0239879788486</v>
      </c>
      <c r="D188" s="33">
        <f>C188*VLOOKUP($A$180,Ταρίφες!$A$6:$G$23,$K$6,FALSE)*(1+$F$3)^(B188-1)</f>
        <v>55133.995492068221</v>
      </c>
      <c r="E188" s="33">
        <f>C188*VLOOKUP($A$180,Ταρίφες!$A$6:$G$23,$K$7,FALSE)*(1+$F$3)^(B188-1)</f>
        <v>38961.35681439488</v>
      </c>
      <c r="F188" s="46">
        <f t="shared" si="102"/>
        <v>-2108.9868858040782</v>
      </c>
      <c r="G188" s="47">
        <f t="shared" si="103"/>
        <v>-1171.6593810022655</v>
      </c>
      <c r="H188" s="47">
        <f t="shared" si="104"/>
        <v>-1405.9912572027185</v>
      </c>
      <c r="I188" s="46">
        <f t="shared" si="105"/>
        <v>-5272.4672145101949</v>
      </c>
      <c r="J188" s="47">
        <f t="shared" si="107"/>
        <v>-7980</v>
      </c>
      <c r="K188" s="47">
        <f t="shared" si="108"/>
        <v>-9670.6715959227313</v>
      </c>
      <c r="L188" s="47">
        <f t="shared" si="109"/>
        <v>-5465.7855397276617</v>
      </c>
      <c r="M188" s="47">
        <f t="shared" si="110"/>
        <v>35504.219157626234</v>
      </c>
      <c r="N188" s="47">
        <f t="shared" si="111"/>
        <v>23536.46653614796</v>
      </c>
      <c r="O188" s="34"/>
      <c r="P188" s="36">
        <f t="shared" si="112"/>
        <v>0</v>
      </c>
      <c r="Q188" s="35"/>
      <c r="R188" s="33"/>
      <c r="S188" s="43"/>
      <c r="T188" s="19"/>
      <c r="U188" s="27">
        <f t="shared" si="113"/>
        <v>35504.219157626234</v>
      </c>
      <c r="V188" s="28">
        <f t="shared" si="113"/>
        <v>23536.46653614796</v>
      </c>
    </row>
    <row r="189" spans="1:22" hidden="1" outlineLevel="1" x14ac:dyDescent="0.25">
      <c r="A189" s="18"/>
      <c r="B189" s="38">
        <f t="shared" si="114"/>
        <v>10</v>
      </c>
      <c r="C189" s="54">
        <f t="shared" si="106"/>
        <v>145.5537480990601</v>
      </c>
      <c r="D189" s="33">
        <f>C189*VLOOKUP($A$180,Ταρίφες!$A$6:$G$23,$K$6,FALSE)*(1+$F$3)^(B189-1)</f>
        <v>54582.655537147541</v>
      </c>
      <c r="E189" s="33">
        <f>C189*VLOOKUP($A$180,Ταρίφες!$A$6:$G$23,$K$7,FALSE)*(1+$F$3)^(B189-1)</f>
        <v>38571.743246250924</v>
      </c>
      <c r="F189" s="46">
        <f t="shared" si="102"/>
        <v>-2151.1666235201596</v>
      </c>
      <c r="G189" s="47">
        <f t="shared" si="103"/>
        <v>-1195.0925686223109</v>
      </c>
      <c r="H189" s="47">
        <f t="shared" si="104"/>
        <v>-1434.1110823467729</v>
      </c>
      <c r="I189" s="46">
        <f t="shared" si="105"/>
        <v>-5377.9165588003989</v>
      </c>
      <c r="J189" s="47">
        <f t="shared" si="107"/>
        <v>-7980</v>
      </c>
      <c r="K189" s="47">
        <f t="shared" si="108"/>
        <v>-9475.5358630030532</v>
      </c>
      <c r="L189" s="47">
        <f t="shared" si="109"/>
        <v>-5312.698667369933</v>
      </c>
      <c r="M189" s="47">
        <f t="shared" si="110"/>
        <v>34948.83284085484</v>
      </c>
      <c r="N189" s="47">
        <f t="shared" si="111"/>
        <v>23100.757745591349</v>
      </c>
      <c r="O189" s="34"/>
      <c r="P189" s="36">
        <f t="shared" si="112"/>
        <v>0</v>
      </c>
      <c r="Q189" s="35"/>
      <c r="R189" s="33"/>
      <c r="S189" s="43"/>
      <c r="T189" s="19"/>
      <c r="U189" s="27">
        <f t="shared" si="113"/>
        <v>34948.83284085484</v>
      </c>
      <c r="V189" s="28">
        <f t="shared" si="113"/>
        <v>23100.757745591349</v>
      </c>
    </row>
    <row r="190" spans="1:22" hidden="1" outlineLevel="1" x14ac:dyDescent="0.25">
      <c r="A190" s="18"/>
      <c r="B190" s="38">
        <f t="shared" si="114"/>
        <v>11</v>
      </c>
      <c r="C190" s="54">
        <f t="shared" si="106"/>
        <v>144.09821061806949</v>
      </c>
      <c r="D190" s="33">
        <f>C190*VLOOKUP($A$180,Ταρίφες!$A$6:$G$23,$K$6,FALSE)*(1+$F$3)^(B190-1)</f>
        <v>54036.82898177606</v>
      </c>
      <c r="E190" s="33">
        <f>C190*VLOOKUP($A$180,Ταρίφες!$A$6:$G$23,$K$7,FALSE)*(1+$F$3)^(B190-1)</f>
        <v>38186.025813788416</v>
      </c>
      <c r="F190" s="46">
        <f t="shared" si="102"/>
        <v>-2194.1899559905628</v>
      </c>
      <c r="G190" s="47">
        <f t="shared" si="103"/>
        <v>-1218.9944199947572</v>
      </c>
      <c r="H190" s="47">
        <f t="shared" si="104"/>
        <v>-1462.7933039937086</v>
      </c>
      <c r="I190" s="46">
        <f t="shared" si="105"/>
        <v>-5485.4748899764072</v>
      </c>
      <c r="J190" s="47">
        <f t="shared" si="107"/>
        <v>-7980</v>
      </c>
      <c r="K190" s="47">
        <f t="shared" si="108"/>
        <v>-9280.7978670733628</v>
      </c>
      <c r="L190" s="47">
        <f t="shared" si="109"/>
        <v>-5159.5890433965751</v>
      </c>
      <c r="M190" s="47">
        <f t="shared" si="110"/>
        <v>34394.578544747259</v>
      </c>
      <c r="N190" s="47">
        <f t="shared" si="111"/>
        <v>22664.984200436404</v>
      </c>
      <c r="O190" s="34"/>
      <c r="P190" s="36">
        <f t="shared" si="112"/>
        <v>0</v>
      </c>
      <c r="Q190" s="35"/>
      <c r="R190" s="33"/>
      <c r="S190" s="43"/>
      <c r="T190" s="19"/>
      <c r="U190" s="27">
        <f t="shared" si="113"/>
        <v>34394.578544747259</v>
      </c>
      <c r="V190" s="28">
        <f t="shared" si="113"/>
        <v>22664.984200436404</v>
      </c>
    </row>
    <row r="191" spans="1:22" hidden="1" outlineLevel="1" x14ac:dyDescent="0.25">
      <c r="A191" s="18"/>
      <c r="B191" s="38">
        <f t="shared" si="114"/>
        <v>12</v>
      </c>
      <c r="C191" s="54">
        <f t="shared" si="106"/>
        <v>142.6572285118888</v>
      </c>
      <c r="D191" s="33">
        <f>C191*VLOOKUP($A$180,Ταρίφες!$A$6:$G$23,$K$6,FALSE)*(1+$F$3)^(B191-1)</f>
        <v>53496.460691958302</v>
      </c>
      <c r="E191" s="33">
        <f>C191*VLOOKUP($A$180,Ταρίφες!$A$6:$G$23,$K$7,FALSE)*(1+$F$3)^(B191-1)</f>
        <v>37804.165555650536</v>
      </c>
      <c r="F191" s="46">
        <f t="shared" si="102"/>
        <v>-2238.0737551103734</v>
      </c>
      <c r="G191" s="47">
        <f t="shared" si="103"/>
        <v>-1243.374308394652</v>
      </c>
      <c r="H191" s="47">
        <f t="shared" si="104"/>
        <v>-1492.0491700735824</v>
      </c>
      <c r="I191" s="46">
        <f t="shared" si="105"/>
        <v>-5595.1843877759338</v>
      </c>
      <c r="J191" s="47">
        <f t="shared" si="107"/>
        <v>-7980</v>
      </c>
      <c r="K191" s="47">
        <f t="shared" si="108"/>
        <v>-9086.4225583569787</v>
      </c>
      <c r="L191" s="47">
        <f t="shared" si="109"/>
        <v>-5006.4258229169582</v>
      </c>
      <c r="M191" s="47">
        <f t="shared" si="110"/>
        <v>33841.356512246784</v>
      </c>
      <c r="N191" s="47">
        <f t="shared" si="111"/>
        <v>22229.058111379036</v>
      </c>
      <c r="O191" s="34"/>
      <c r="P191" s="36">
        <f t="shared" si="112"/>
        <v>0</v>
      </c>
      <c r="Q191" s="35"/>
      <c r="R191" s="33"/>
      <c r="S191" s="43"/>
      <c r="T191" s="19"/>
      <c r="U191" s="27">
        <f t="shared" si="113"/>
        <v>33841.356512246784</v>
      </c>
      <c r="V191" s="28">
        <f t="shared" si="113"/>
        <v>22229.058111379036</v>
      </c>
    </row>
    <row r="192" spans="1:22" hidden="1" outlineLevel="1" x14ac:dyDescent="0.25">
      <c r="A192" s="18"/>
      <c r="B192" s="38">
        <f t="shared" si="114"/>
        <v>13</v>
      </c>
      <c r="C192" s="54">
        <f t="shared" si="106"/>
        <v>141.23065622676992</v>
      </c>
      <c r="D192" s="33">
        <f>C192*VLOOKUP($A$180,Ταρίφες!$A$6:$G$23,$K$6,FALSE)*(1+$F$3)^(B192-1)</f>
        <v>52961.496085038722</v>
      </c>
      <c r="E192" s="33">
        <f>C192*VLOOKUP($A$180,Ταρίφες!$A$6:$G$23,$K$7,FALSE)*(1+$F$3)^(B192-1)</f>
        <v>37426.123900094033</v>
      </c>
      <c r="F192" s="46">
        <f t="shared" si="102"/>
        <v>-2282.8352302125813</v>
      </c>
      <c r="G192" s="47">
        <f t="shared" si="103"/>
        <v>-1268.2417945625452</v>
      </c>
      <c r="H192" s="47">
        <f t="shared" si="104"/>
        <v>-1521.8901534750544</v>
      </c>
      <c r="I192" s="46">
        <f t="shared" si="105"/>
        <v>-5707.0880755314538</v>
      </c>
      <c r="J192" s="47">
        <f t="shared" si="107"/>
        <v>-7980</v>
      </c>
      <c r="K192" s="47">
        <f t="shared" si="108"/>
        <v>-8892.3746161268427</v>
      </c>
      <c r="L192" s="47">
        <f t="shared" si="109"/>
        <v>-4853.177848041224</v>
      </c>
      <c r="M192" s="47">
        <f t="shared" si="110"/>
        <v>33289.066215130246</v>
      </c>
      <c r="N192" s="47">
        <f t="shared" si="111"/>
        <v>21792.890798271175</v>
      </c>
      <c r="O192" s="34"/>
      <c r="P192" s="36">
        <f t="shared" si="112"/>
        <v>0</v>
      </c>
      <c r="Q192" s="35"/>
      <c r="R192" s="33"/>
      <c r="S192" s="43"/>
      <c r="T192" s="19"/>
      <c r="U192" s="27">
        <f t="shared" si="113"/>
        <v>33289.066215130246</v>
      </c>
      <c r="V192" s="28">
        <f t="shared" si="113"/>
        <v>21792.890798271175</v>
      </c>
    </row>
    <row r="193" spans="1:22" hidden="1" outlineLevel="1" x14ac:dyDescent="0.25">
      <c r="A193" s="18"/>
      <c r="B193" s="38">
        <f t="shared" si="114"/>
        <v>14</v>
      </c>
      <c r="C193" s="54">
        <f t="shared" si="106"/>
        <v>139.81834966450222</v>
      </c>
      <c r="D193" s="33">
        <f>C193*VLOOKUP($A$180,Ταρίφες!$A$6:$G$23,$K$6,FALSE)*(1+$F$3)^(B193-1)</f>
        <v>52431.88112418833</v>
      </c>
      <c r="E193" s="33">
        <f>C193*VLOOKUP($A$180,Ταρίφες!$A$6:$G$23,$K$7,FALSE)*(1+$F$3)^(B193-1)</f>
        <v>37051.862661093088</v>
      </c>
      <c r="F193" s="46">
        <f t="shared" si="102"/>
        <v>-2328.4919348168328</v>
      </c>
      <c r="G193" s="47">
        <f t="shared" si="103"/>
        <v>-1293.606630453796</v>
      </c>
      <c r="H193" s="47">
        <f t="shared" si="104"/>
        <v>-1552.3279565445553</v>
      </c>
      <c r="I193" s="46">
        <f t="shared" si="105"/>
        <v>-5821.2298370420822</v>
      </c>
      <c r="J193" s="47">
        <f t="shared" si="107"/>
        <v>-7980</v>
      </c>
      <c r="K193" s="47">
        <f t="shared" si="108"/>
        <v>-8698.6184389860773</v>
      </c>
      <c r="L193" s="47">
        <f t="shared" si="109"/>
        <v>-4699.8136385813132</v>
      </c>
      <c r="M193" s="47">
        <f t="shared" si="110"/>
        <v>32737.606326344983</v>
      </c>
      <c r="N193" s="47">
        <f t="shared" si="111"/>
        <v>21356.392663654507</v>
      </c>
      <c r="O193" s="34"/>
      <c r="P193" s="36">
        <f t="shared" si="112"/>
        <v>0</v>
      </c>
      <c r="Q193" s="35"/>
      <c r="R193" s="33"/>
      <c r="S193" s="43"/>
      <c r="T193" s="19"/>
      <c r="U193" s="27">
        <f t="shared" si="113"/>
        <v>32737.606326344983</v>
      </c>
      <c r="V193" s="28">
        <f t="shared" si="113"/>
        <v>21356.392663654507</v>
      </c>
    </row>
    <row r="194" spans="1:22" hidden="1" outlineLevel="1" x14ac:dyDescent="0.25">
      <c r="A194" s="18"/>
      <c r="B194" s="38">
        <f t="shared" si="114"/>
        <v>15</v>
      </c>
      <c r="C194" s="54">
        <f t="shared" si="106"/>
        <v>138.42016616785719</v>
      </c>
      <c r="D194" s="33">
        <f>C194*VLOOKUP($A$180,Ταρίφες!$A$6:$G$23,$K$6,FALSE)*(1+$F$3)^(B194-1)</f>
        <v>51907.562312946444</v>
      </c>
      <c r="E194" s="33">
        <f>C194*VLOOKUP($A$180,Ταρίφες!$A$6:$G$23,$K$7,FALSE)*(1+$F$3)^(B194-1)</f>
        <v>36681.344034482157</v>
      </c>
      <c r="F194" s="46">
        <f t="shared" si="102"/>
        <v>-2375.06177351317</v>
      </c>
      <c r="G194" s="47">
        <f t="shared" si="103"/>
        <v>-1319.4787630628721</v>
      </c>
      <c r="H194" s="47">
        <f t="shared" si="104"/>
        <v>-1583.3745156754467</v>
      </c>
      <c r="I194" s="46">
        <f t="shared" si="105"/>
        <v>-5937.6544337829246</v>
      </c>
      <c r="J194" s="47">
        <f t="shared" si="107"/>
        <v>-7980</v>
      </c>
      <c r="K194" s="47">
        <f t="shared" si="108"/>
        <v>-8505.1181349971284</v>
      </c>
      <c r="L194" s="47">
        <f t="shared" si="109"/>
        <v>-4546.3013825964135</v>
      </c>
      <c r="M194" s="47">
        <f t="shared" si="110"/>
        <v>32186.874691914898</v>
      </c>
      <c r="N194" s="47">
        <f t="shared" si="111"/>
        <v>20919.473165851334</v>
      </c>
      <c r="O194" s="34"/>
      <c r="P194" s="36">
        <f t="shared" si="112"/>
        <v>0</v>
      </c>
      <c r="Q194" s="35"/>
      <c r="R194" s="33"/>
      <c r="S194" s="43"/>
      <c r="T194" s="19"/>
      <c r="U194" s="27">
        <f t="shared" si="113"/>
        <v>32186.874691914898</v>
      </c>
      <c r="V194" s="28">
        <f t="shared" si="113"/>
        <v>20919.473165851334</v>
      </c>
    </row>
    <row r="195" spans="1:22" hidden="1" outlineLevel="1" x14ac:dyDescent="0.25">
      <c r="A195" s="18"/>
      <c r="B195" s="38">
        <f t="shared" si="114"/>
        <v>16</v>
      </c>
      <c r="C195" s="54">
        <f t="shared" si="106"/>
        <v>137.03596450617863</v>
      </c>
      <c r="D195" s="33">
        <f>C195*VLOOKUP($A$180,Ταρίφες!$A$6:$G$23,$K$6,FALSE)*(1+$F$3)^(B195-1)</f>
        <v>51388.486689816986</v>
      </c>
      <c r="E195" s="33">
        <f>C195*VLOOKUP($A$180,Ταρίφες!$A$6:$G$23,$K$7,FALSE)*(1+$F$3)^(B195-1)</f>
        <v>36314.530594137337</v>
      </c>
      <c r="F195" s="46">
        <f t="shared" si="102"/>
        <v>-2422.5630089834326</v>
      </c>
      <c r="G195" s="47">
        <f t="shared" si="103"/>
        <v>-1345.8683383241291</v>
      </c>
      <c r="H195" s="47">
        <f t="shared" si="104"/>
        <v>-1615.042005988955</v>
      </c>
      <c r="I195" s="46">
        <f t="shared" si="105"/>
        <v>-6056.4075224585813</v>
      </c>
      <c r="J195" s="47">
        <f t="shared" si="107"/>
        <v>-7980</v>
      </c>
      <c r="K195" s="47">
        <f t="shared" si="108"/>
        <v>-8311.837511656091</v>
      </c>
      <c r="L195" s="47">
        <f t="shared" si="109"/>
        <v>-4392.6089267793823</v>
      </c>
      <c r="M195" s="47">
        <f t="shared" si="110"/>
        <v>31636.768302405791</v>
      </c>
      <c r="N195" s="47">
        <f t="shared" si="111"/>
        <v>20482.040791602856</v>
      </c>
      <c r="O195" s="34"/>
      <c r="P195" s="36">
        <f t="shared" si="112"/>
        <v>0</v>
      </c>
      <c r="Q195" s="35"/>
      <c r="R195" s="33"/>
      <c r="S195" s="43"/>
      <c r="T195" s="19"/>
      <c r="U195" s="27">
        <f t="shared" si="113"/>
        <v>31636.768302405791</v>
      </c>
      <c r="V195" s="28">
        <f t="shared" si="113"/>
        <v>20482.040791602856</v>
      </c>
    </row>
    <row r="196" spans="1:22" hidden="1" outlineLevel="1" x14ac:dyDescent="0.25">
      <c r="A196" s="18"/>
      <c r="B196" s="38">
        <f t="shared" si="114"/>
        <v>17</v>
      </c>
      <c r="C196" s="54">
        <f t="shared" si="106"/>
        <v>135.66560486111683</v>
      </c>
      <c r="D196" s="33">
        <f>C196*VLOOKUP($A$180,Ταρίφες!$A$6:$G$23,$K$6,FALSE)*(1+$F$3)^(B196-1)</f>
        <v>50874.601822918812</v>
      </c>
      <c r="E196" s="33">
        <f>C196*VLOOKUP($A$180,Ταρίφες!$A$6:$G$23,$K$7,FALSE)*(1+$F$3)^(B196-1)</f>
        <v>35951.385288195961</v>
      </c>
      <c r="F196" s="46">
        <f t="shared" si="102"/>
        <v>-2471.0142691631017</v>
      </c>
      <c r="G196" s="47">
        <f t="shared" si="103"/>
        <v>-1372.7857050906121</v>
      </c>
      <c r="H196" s="47">
        <f t="shared" si="104"/>
        <v>-1647.3428461087344</v>
      </c>
      <c r="I196" s="46">
        <f t="shared" si="105"/>
        <v>-6177.5356729077539</v>
      </c>
      <c r="J196" s="47">
        <f t="shared" si="107"/>
        <v>-7980</v>
      </c>
      <c r="K196" s="47">
        <f t="shared" si="108"/>
        <v>-8118.7400657086382</v>
      </c>
      <c r="L196" s="47">
        <f t="shared" si="109"/>
        <v>-4238.7037666806973</v>
      </c>
      <c r="M196" s="47">
        <f t="shared" si="110"/>
        <v>31087.183263939965</v>
      </c>
      <c r="N196" s="47">
        <f t="shared" si="111"/>
        <v>20044.003028245061</v>
      </c>
      <c r="O196" s="34"/>
      <c r="P196" s="36">
        <f t="shared" si="112"/>
        <v>0</v>
      </c>
      <c r="Q196" s="35"/>
      <c r="R196" s="33"/>
      <c r="S196" s="43"/>
      <c r="T196" s="19"/>
      <c r="U196" s="27">
        <f t="shared" si="113"/>
        <v>31087.183263939965</v>
      </c>
      <c r="V196" s="28">
        <f t="shared" si="113"/>
        <v>20044.003028245061</v>
      </c>
    </row>
    <row r="197" spans="1:22" hidden="1" outlineLevel="1" x14ac:dyDescent="0.25">
      <c r="A197" s="18"/>
      <c r="B197" s="38">
        <f t="shared" si="114"/>
        <v>18</v>
      </c>
      <c r="C197" s="54">
        <f t="shared" si="106"/>
        <v>134.30894881250566</v>
      </c>
      <c r="D197" s="33">
        <f>C197*VLOOKUP($A$180,Ταρίφες!$A$6:$G$23,$K$6,FALSE)*(1+$F$3)^(B197-1)</f>
        <v>50365.855804689621</v>
      </c>
      <c r="E197" s="33">
        <f>C197*VLOOKUP($A$180,Ταρίφες!$A$6:$G$23,$K$7,FALSE)*(1+$F$3)^(B197-1)</f>
        <v>35591.871435314002</v>
      </c>
      <c r="F197" s="46">
        <f t="shared" si="102"/>
        <v>-2520.4345545463639</v>
      </c>
      <c r="G197" s="47">
        <f t="shared" si="103"/>
        <v>-1400.2414191924245</v>
      </c>
      <c r="H197" s="47">
        <f t="shared" si="104"/>
        <v>-1680.2897030309093</v>
      </c>
      <c r="I197" s="46">
        <f t="shared" si="105"/>
        <v>-6301.0863863659097</v>
      </c>
      <c r="J197" s="47">
        <f t="shared" si="107"/>
        <v>-7980</v>
      </c>
      <c r="K197" s="47">
        <f t="shared" si="108"/>
        <v>-7925.7889728040436</v>
      </c>
      <c r="L197" s="47">
        <f t="shared" si="109"/>
        <v>-4084.5530367663823</v>
      </c>
      <c r="M197" s="47">
        <f t="shared" si="110"/>
        <v>30538.014768749974</v>
      </c>
      <c r="N197" s="47">
        <f t="shared" si="111"/>
        <v>19605.266335412012</v>
      </c>
      <c r="O197" s="34"/>
      <c r="P197" s="36">
        <f t="shared" si="112"/>
        <v>0</v>
      </c>
      <c r="Q197" s="35"/>
      <c r="R197" s="33"/>
      <c r="S197" s="43"/>
      <c r="T197" s="19"/>
      <c r="U197" s="27">
        <f t="shared" si="113"/>
        <v>30538.014768749974</v>
      </c>
      <c r="V197" s="28">
        <f t="shared" si="113"/>
        <v>19605.266335412012</v>
      </c>
    </row>
    <row r="198" spans="1:22" hidden="1" outlineLevel="1" x14ac:dyDescent="0.25">
      <c r="A198" s="18"/>
      <c r="B198" s="38">
        <f t="shared" si="114"/>
        <v>19</v>
      </c>
      <c r="C198" s="54">
        <f t="shared" si="106"/>
        <v>132.9658593243806</v>
      </c>
      <c r="D198" s="33">
        <f>C198*VLOOKUP($A$180,Ταρίφες!$A$6:$G$23,$K$6,FALSE)*(1+$F$3)^(B198-1)</f>
        <v>49862.197246642725</v>
      </c>
      <c r="E198" s="33">
        <f>C198*VLOOKUP($A$180,Ταρίφες!$A$6:$G$23,$K$7,FALSE)*(1+$F$3)^(B198-1)</f>
        <v>35235.952720960857</v>
      </c>
      <c r="F198" s="46">
        <f t="shared" si="102"/>
        <v>-2570.8432456372907</v>
      </c>
      <c r="G198" s="47">
        <f t="shared" si="103"/>
        <v>-1428.2462475762727</v>
      </c>
      <c r="H198" s="47">
        <f t="shared" si="104"/>
        <v>-1713.8954970915272</v>
      </c>
      <c r="I198" s="46">
        <f t="shared" si="105"/>
        <v>-6427.1081140932274</v>
      </c>
      <c r="J198" s="47">
        <f t="shared" si="107"/>
        <v>-7980</v>
      </c>
      <c r="K198" s="47">
        <f t="shared" si="108"/>
        <v>-7732.9470769835461</v>
      </c>
      <c r="L198" s="47">
        <f t="shared" si="109"/>
        <v>-3930.1235003062602</v>
      </c>
      <c r="M198" s="47">
        <f t="shared" si="110"/>
        <v>29989.157065260864</v>
      </c>
      <c r="N198" s="47">
        <f t="shared" si="111"/>
        <v>19165.736116256277</v>
      </c>
      <c r="O198" s="34"/>
      <c r="P198" s="36">
        <f t="shared" si="112"/>
        <v>0</v>
      </c>
      <c r="Q198" s="35"/>
      <c r="R198" s="33"/>
      <c r="S198" s="43"/>
      <c r="T198" s="19"/>
      <c r="U198" s="27">
        <f t="shared" si="113"/>
        <v>29989.157065260864</v>
      </c>
      <c r="V198" s="28">
        <f t="shared" si="113"/>
        <v>19165.736116256277</v>
      </c>
    </row>
    <row r="199" spans="1:22" hidden="1" outlineLevel="1" x14ac:dyDescent="0.25">
      <c r="A199" s="18"/>
      <c r="B199" s="38">
        <f>B198+1</f>
        <v>20</v>
      </c>
      <c r="C199" s="54">
        <f>C198*(1-$F$2)</f>
        <v>131.6362007311368</v>
      </c>
      <c r="D199" s="33">
        <f>C199*VLOOKUP($A$180,Ταρίφες!$A$6:$G$23,$K$6,FALSE)*(1+$F$3)^(B199-1)</f>
        <v>49363.575274176299</v>
      </c>
      <c r="E199" s="33">
        <f>C199*VLOOKUP($A$180,Ταρίφες!$A$6:$G$23,$K$7,FALSE)*(1+$F$3)^(B199-1)</f>
        <v>34883.593193751251</v>
      </c>
      <c r="F199" s="46">
        <f t="shared" si="102"/>
        <v>-2622.2601105500366</v>
      </c>
      <c r="G199" s="47">
        <f t="shared" si="103"/>
        <v>-1456.8111725277981</v>
      </c>
      <c r="H199" s="47">
        <f>-$K$4*(1+$F$4)^(B199-$B$12)</f>
        <v>-1748.1734070333578</v>
      </c>
      <c r="I199" s="46">
        <f>-(4500*(1+$F$4)^(B199-$B$12))</f>
        <v>-6555.6502763750914</v>
      </c>
      <c r="J199" s="47">
        <f t="shared" si="107"/>
        <v>-7980</v>
      </c>
      <c r="K199" s="47">
        <f>-(D199+SUM(F199:J199))*$F$5</f>
        <v>-7540.1768799994043</v>
      </c>
      <c r="L199" s="47">
        <f>-(E199+SUM(F199:J199))*$F$5</f>
        <v>-3775.3815390888913</v>
      </c>
      <c r="M199" s="47">
        <f>D199+SUM(F199:I199)+K199</f>
        <v>29440.503427690608</v>
      </c>
      <c r="N199" s="47">
        <f>E199+SUM(F199:I199)+L199</f>
        <v>18725.316688176074</v>
      </c>
      <c r="O199" s="34"/>
      <c r="P199" s="36">
        <f t="shared" si="112"/>
        <v>0</v>
      </c>
      <c r="Q199" s="35"/>
      <c r="R199" s="33"/>
      <c r="S199" s="43"/>
      <c r="T199" s="19"/>
      <c r="U199" s="27">
        <f>M199</f>
        <v>29440.503427690608</v>
      </c>
      <c r="V199" s="28">
        <f>N199</f>
        <v>18725.316688176074</v>
      </c>
    </row>
    <row r="200" spans="1:22" s="40" customFormat="1" hidden="1" outlineLevel="1" x14ac:dyDescent="0.25">
      <c r="O200" s="17"/>
      <c r="P200" s="36">
        <f t="shared" si="112"/>
        <v>0</v>
      </c>
      <c r="Q200" s="25"/>
      <c r="R200" s="22"/>
      <c r="S200" s="52"/>
      <c r="T200" s="44"/>
      <c r="U200" s="74">
        <f>O201</f>
        <v>-179500</v>
      </c>
      <c r="V200" s="74">
        <f>R201</f>
        <v>-130524.5198741206</v>
      </c>
    </row>
    <row r="201" spans="1:22" collapsed="1" x14ac:dyDescent="0.25">
      <c r="A201" s="32" t="str">
        <f>Ταρίφες!A19</f>
        <v>Β Τριμ. 2012</v>
      </c>
      <c r="B201" s="38">
        <f>1</f>
        <v>1</v>
      </c>
      <c r="C201" s="54">
        <f>$F$8*$K$2/1000</f>
        <v>159.33333333333331</v>
      </c>
      <c r="D201" s="33">
        <f>C201*VLOOKUP($A$201,Ταρίφες!$A$6:$G$23,$K$6,FALSE)*(1+$F$3)^(B201-1)</f>
        <v>57359.999999999993</v>
      </c>
      <c r="E201" s="33">
        <f>C201*VLOOKUP($A$201,Ταρίφες!$A$6:$G$23,$K$7,FALSE)*(1+$F$3)^(B201-1)</f>
        <v>38239.999999999993</v>
      </c>
      <c r="F201" s="46">
        <f t="shared" ref="F201:F220" si="115">-($K$5*(1+$F$4)^(B201-$B$12))</f>
        <v>-1800</v>
      </c>
      <c r="G201" s="47">
        <f t="shared" ref="G201:G220" si="116">-$K$2*10*(1+$F$4)^(B201-$B$12)</f>
        <v>-1000</v>
      </c>
      <c r="H201" s="47">
        <f t="shared" ref="H201:H219" si="117">-$K$4*(1+$F$4)^(B201-$B$12)</f>
        <v>-1200</v>
      </c>
      <c r="I201" s="46">
        <f t="shared" ref="I201:I219" si="118">-(4500*(1+$F$4)^(B201-$B$12))</f>
        <v>-4500</v>
      </c>
      <c r="J201" s="47">
        <f>$O$201*4%</f>
        <v>-7180</v>
      </c>
      <c r="K201" s="47">
        <f>-(D201+SUM(F201:J201))*$F$5</f>
        <v>-10836.8</v>
      </c>
      <c r="L201" s="47">
        <f>-(E201+SUM(F201:J201))*$F$5</f>
        <v>-5865.5999999999985</v>
      </c>
      <c r="M201" s="47">
        <f>D201+SUM(F201:I201)+K201</f>
        <v>38023.199999999997</v>
      </c>
      <c r="N201" s="47">
        <f>E201+SUM(F201:I201)+L201</f>
        <v>23874.399999999994</v>
      </c>
      <c r="O201" s="35">
        <f>-VLOOKUP(A201,'Κόστος Κατασκευής'!$A$4:$Q$17,$K$8,FALSE)</f>
        <v>-179500</v>
      </c>
      <c r="P201" s="36">
        <f t="shared" si="112"/>
        <v>71800</v>
      </c>
      <c r="Q201" s="36">
        <f>Q180*15/16</f>
        <v>-22824.519874120597</v>
      </c>
      <c r="R201" s="37">
        <f>SUM(O201:Q201)</f>
        <v>-130524.5198741206</v>
      </c>
      <c r="S201" s="42">
        <f>IRR(U200:U220)</f>
        <v>0.19198688879736281</v>
      </c>
      <c r="T201" s="42">
        <f>IRR(V200:V220)</f>
        <v>0.15768574202806196</v>
      </c>
      <c r="U201" s="27">
        <f>M201</f>
        <v>38023.199999999997</v>
      </c>
      <c r="V201" s="28">
        <f>N201</f>
        <v>23874.399999999994</v>
      </c>
    </row>
    <row r="202" spans="1:22" hidden="1" outlineLevel="1" x14ac:dyDescent="0.25">
      <c r="A202" s="18"/>
      <c r="B202" s="38">
        <f>B201+1</f>
        <v>2</v>
      </c>
      <c r="C202" s="54">
        <f t="shared" ref="C202:C219" si="119">C201*(1-$F$2)</f>
        <v>157.73999999999998</v>
      </c>
      <c r="D202" s="33">
        <f>C202*VLOOKUP($A$201,Ταρίφες!$A$6:$G$23,$K$6,FALSE)*(1+$F$3)^(B202-1)</f>
        <v>56786.399999999994</v>
      </c>
      <c r="E202" s="33">
        <f>C202*VLOOKUP($A$201,Ταρίφες!$A$6:$G$23,$K$7,FALSE)*(1+$F$3)^(B202-1)</f>
        <v>37857.599999999999</v>
      </c>
      <c r="F202" s="46">
        <f t="shared" si="115"/>
        <v>-1836</v>
      </c>
      <c r="G202" s="47">
        <f t="shared" si="116"/>
        <v>-1020</v>
      </c>
      <c r="H202" s="47">
        <f t="shared" si="117"/>
        <v>-1224</v>
      </c>
      <c r="I202" s="46">
        <f t="shared" si="118"/>
        <v>-4590</v>
      </c>
      <c r="J202" s="47">
        <f t="shared" ref="J202:J220" si="120">$O$201*4%</f>
        <v>-7180</v>
      </c>
      <c r="K202" s="47">
        <f t="shared" ref="K202:K219" si="121">-(D202+SUM(F202:J202))*$F$5</f>
        <v>-10643.463999999998</v>
      </c>
      <c r="L202" s="47">
        <f t="shared" ref="L202:L219" si="122">-(E202+SUM(F202:J202))*$F$5</f>
        <v>-5721.9759999999997</v>
      </c>
      <c r="M202" s="47">
        <f t="shared" ref="M202:M219" si="123">D202+SUM(F202:I202)+K202</f>
        <v>37472.935999999994</v>
      </c>
      <c r="N202" s="47">
        <f t="shared" ref="N202:N219" si="124">E202+SUM(F202:I202)+L202</f>
        <v>23465.624</v>
      </c>
      <c r="O202" s="34"/>
      <c r="P202" s="36">
        <f t="shared" si="112"/>
        <v>0</v>
      </c>
      <c r="Q202" s="35"/>
      <c r="R202" s="33"/>
      <c r="S202" s="43"/>
      <c r="T202" s="19"/>
      <c r="U202" s="27">
        <f t="shared" ref="U202:V219" si="125">M202</f>
        <v>37472.935999999994</v>
      </c>
      <c r="V202" s="28">
        <f t="shared" si="125"/>
        <v>23465.624</v>
      </c>
    </row>
    <row r="203" spans="1:22" hidden="1" outlineLevel="1" x14ac:dyDescent="0.25">
      <c r="A203" s="18"/>
      <c r="B203" s="38">
        <f t="shared" ref="B203:B219" si="126">B202+1</f>
        <v>3</v>
      </c>
      <c r="C203" s="54">
        <f t="shared" si="119"/>
        <v>156.16259999999997</v>
      </c>
      <c r="D203" s="33">
        <f>C203*VLOOKUP($A$201,Ταρίφες!$A$6:$G$23,$K$6,FALSE)*(1+$F$3)^(B203-1)</f>
        <v>56218.535999999986</v>
      </c>
      <c r="E203" s="33">
        <f>C203*VLOOKUP($A$201,Ταρίφες!$A$6:$G$23,$K$7,FALSE)*(1+$F$3)^(B203-1)</f>
        <v>37479.02399999999</v>
      </c>
      <c r="F203" s="46">
        <f t="shared" si="115"/>
        <v>-1872.72</v>
      </c>
      <c r="G203" s="47">
        <f t="shared" si="116"/>
        <v>-1040.4000000000001</v>
      </c>
      <c r="H203" s="47">
        <f t="shared" si="117"/>
        <v>-1248.48</v>
      </c>
      <c r="I203" s="46">
        <f t="shared" si="118"/>
        <v>-4681.8</v>
      </c>
      <c r="J203" s="47">
        <f t="shared" si="120"/>
        <v>-7180</v>
      </c>
      <c r="K203" s="47">
        <f t="shared" si="121"/>
        <v>-10450.735359999997</v>
      </c>
      <c r="L203" s="47">
        <f t="shared" si="122"/>
        <v>-5578.4622399999971</v>
      </c>
      <c r="M203" s="47">
        <f t="shared" si="123"/>
        <v>36924.400639999985</v>
      </c>
      <c r="N203" s="47">
        <f t="shared" si="124"/>
        <v>23057.161759999992</v>
      </c>
      <c r="O203" s="34"/>
      <c r="P203" s="36">
        <f t="shared" si="112"/>
        <v>0</v>
      </c>
      <c r="Q203" s="35"/>
      <c r="R203" s="33"/>
      <c r="S203" s="43"/>
      <c r="T203" s="19"/>
      <c r="U203" s="27">
        <f t="shared" si="125"/>
        <v>36924.400639999985</v>
      </c>
      <c r="V203" s="28">
        <f t="shared" si="125"/>
        <v>23057.161759999992</v>
      </c>
    </row>
    <row r="204" spans="1:22" hidden="1" outlineLevel="1" x14ac:dyDescent="0.25">
      <c r="A204" s="18"/>
      <c r="B204" s="38">
        <f t="shared" si="126"/>
        <v>4</v>
      </c>
      <c r="C204" s="54">
        <f t="shared" si="119"/>
        <v>154.60097399999998</v>
      </c>
      <c r="D204" s="33">
        <f>C204*VLOOKUP($A$201,Ταρίφες!$A$6:$G$23,$K$6,FALSE)*(1+$F$3)^(B204-1)</f>
        <v>55656.35063999999</v>
      </c>
      <c r="E204" s="33">
        <f>C204*VLOOKUP($A$201,Ταρίφες!$A$6:$G$23,$K$7,FALSE)*(1+$F$3)^(B204-1)</f>
        <v>37104.233759999996</v>
      </c>
      <c r="F204" s="46">
        <f t="shared" si="115"/>
        <v>-1910.1743999999999</v>
      </c>
      <c r="G204" s="47">
        <f t="shared" si="116"/>
        <v>-1061.2079999999999</v>
      </c>
      <c r="H204" s="47">
        <f t="shared" si="117"/>
        <v>-1273.4495999999999</v>
      </c>
      <c r="I204" s="46">
        <f t="shared" si="118"/>
        <v>-4775.4359999999997</v>
      </c>
      <c r="J204" s="47">
        <f t="shared" si="120"/>
        <v>-7180</v>
      </c>
      <c r="K204" s="47">
        <f t="shared" si="121"/>
        <v>-10258.581486399999</v>
      </c>
      <c r="L204" s="47">
        <f t="shared" si="122"/>
        <v>-5435.0310975999992</v>
      </c>
      <c r="M204" s="47">
        <f t="shared" si="123"/>
        <v>36377.501153599995</v>
      </c>
      <c r="N204" s="47">
        <f t="shared" si="124"/>
        <v>22648.934662399995</v>
      </c>
      <c r="O204" s="34"/>
      <c r="P204" s="36">
        <f t="shared" si="112"/>
        <v>0</v>
      </c>
      <c r="Q204" s="35"/>
      <c r="R204" s="33"/>
      <c r="S204" s="43"/>
      <c r="T204" s="19"/>
      <c r="U204" s="27">
        <f t="shared" si="125"/>
        <v>36377.501153599995</v>
      </c>
      <c r="V204" s="28">
        <f t="shared" si="125"/>
        <v>22648.934662399995</v>
      </c>
    </row>
    <row r="205" spans="1:22" hidden="1" outlineLevel="1" x14ac:dyDescent="0.25">
      <c r="A205" s="18"/>
      <c r="B205" s="38">
        <f t="shared" si="126"/>
        <v>5</v>
      </c>
      <c r="C205" s="54">
        <f t="shared" si="119"/>
        <v>153.05496425999999</v>
      </c>
      <c r="D205" s="33">
        <f>C205*VLOOKUP($A$201,Ταρίφες!$A$6:$G$23,$K$6,FALSE)*(1+$F$3)^(B205-1)</f>
        <v>55099.787133599995</v>
      </c>
      <c r="E205" s="33">
        <f>C205*VLOOKUP($A$201,Ταρίφες!$A$6:$G$23,$K$7,FALSE)*(1+$F$3)^(B205-1)</f>
        <v>36733.191422399999</v>
      </c>
      <c r="F205" s="46">
        <f t="shared" si="115"/>
        <v>-1948.377888</v>
      </c>
      <c r="G205" s="47">
        <f t="shared" si="116"/>
        <v>-1082.4321600000001</v>
      </c>
      <c r="H205" s="47">
        <f t="shared" si="117"/>
        <v>-1298.918592</v>
      </c>
      <c r="I205" s="46">
        <f t="shared" si="118"/>
        <v>-4870.9447199999995</v>
      </c>
      <c r="J205" s="47">
        <f t="shared" si="120"/>
        <v>-7180</v>
      </c>
      <c r="K205" s="47">
        <f t="shared" si="121"/>
        <v>-10066.969581136</v>
      </c>
      <c r="L205" s="47">
        <f t="shared" si="122"/>
        <v>-5291.654696224</v>
      </c>
      <c r="M205" s="47">
        <f t="shared" si="123"/>
        <v>35832.144192463995</v>
      </c>
      <c r="N205" s="47">
        <f t="shared" si="124"/>
        <v>22240.863366176</v>
      </c>
      <c r="O205" s="34"/>
      <c r="P205" s="36">
        <f t="shared" si="112"/>
        <v>0</v>
      </c>
      <c r="Q205" s="35"/>
      <c r="R205" s="33"/>
      <c r="S205" s="43"/>
      <c r="T205" s="19"/>
      <c r="U205" s="27">
        <f t="shared" si="125"/>
        <v>35832.144192463995</v>
      </c>
      <c r="V205" s="28">
        <f t="shared" si="125"/>
        <v>22240.863366176</v>
      </c>
    </row>
    <row r="206" spans="1:22" hidden="1" outlineLevel="1" x14ac:dyDescent="0.25">
      <c r="A206" s="18"/>
      <c r="B206" s="38">
        <f t="shared" si="126"/>
        <v>6</v>
      </c>
      <c r="C206" s="54">
        <f t="shared" si="119"/>
        <v>151.5244146174</v>
      </c>
      <c r="D206" s="33">
        <f>C206*VLOOKUP($A$201,Ταρίφες!$A$6:$G$23,$K$6,FALSE)*(1+$F$3)^(B206-1)</f>
        <v>54548.789262263999</v>
      </c>
      <c r="E206" s="33">
        <f>C206*VLOOKUP($A$201,Ταρίφες!$A$6:$G$23,$K$7,FALSE)*(1+$F$3)^(B206-1)</f>
        <v>36365.859508176</v>
      </c>
      <c r="F206" s="46">
        <f t="shared" si="115"/>
        <v>-1987.3454457600001</v>
      </c>
      <c r="G206" s="47">
        <f t="shared" si="116"/>
        <v>-1104.0808032</v>
      </c>
      <c r="H206" s="47">
        <f t="shared" si="117"/>
        <v>-1324.8969638400001</v>
      </c>
      <c r="I206" s="46">
        <f t="shared" si="118"/>
        <v>-4968.3636144000002</v>
      </c>
      <c r="J206" s="47">
        <f t="shared" si="120"/>
        <v>-7180</v>
      </c>
      <c r="K206" s="47">
        <f t="shared" si="121"/>
        <v>-9875.8666331166405</v>
      </c>
      <c r="L206" s="47">
        <f t="shared" si="122"/>
        <v>-5148.3048970537602</v>
      </c>
      <c r="M206" s="47">
        <f t="shared" si="123"/>
        <v>35288.235801947361</v>
      </c>
      <c r="N206" s="47">
        <f t="shared" si="124"/>
        <v>21832.86778392224</v>
      </c>
      <c r="O206" s="34"/>
      <c r="P206" s="36">
        <f t="shared" si="112"/>
        <v>0</v>
      </c>
      <c r="Q206" s="35"/>
      <c r="R206" s="33"/>
      <c r="S206" s="43"/>
      <c r="T206" s="19"/>
      <c r="U206" s="27">
        <f t="shared" si="125"/>
        <v>35288.235801947361</v>
      </c>
      <c r="V206" s="28">
        <f t="shared" si="125"/>
        <v>21832.86778392224</v>
      </c>
    </row>
    <row r="207" spans="1:22" hidden="1" outlineLevel="1" x14ac:dyDescent="0.25">
      <c r="A207" s="18"/>
      <c r="B207" s="38">
        <f t="shared" si="126"/>
        <v>7</v>
      </c>
      <c r="C207" s="54">
        <f t="shared" si="119"/>
        <v>150.00917047122599</v>
      </c>
      <c r="D207" s="33">
        <f>C207*VLOOKUP($A$201,Ταρίφες!$A$6:$G$23,$K$6,FALSE)*(1+$F$3)^(B207-1)</f>
        <v>54003.301369641355</v>
      </c>
      <c r="E207" s="33">
        <f>C207*VLOOKUP($A$201,Ταρίφες!$A$6:$G$23,$K$7,FALSE)*(1+$F$3)^(B207-1)</f>
        <v>36002.200913094239</v>
      </c>
      <c r="F207" s="46">
        <f t="shared" si="115"/>
        <v>-2027.0923546752001</v>
      </c>
      <c r="G207" s="47">
        <f t="shared" si="116"/>
        <v>-1126.1624192640002</v>
      </c>
      <c r="H207" s="47">
        <f t="shared" si="117"/>
        <v>-1351.3949031168002</v>
      </c>
      <c r="I207" s="46">
        <f t="shared" si="118"/>
        <v>-5067.7308866880003</v>
      </c>
      <c r="J207" s="47">
        <f t="shared" si="120"/>
        <v>-7180</v>
      </c>
      <c r="K207" s="47">
        <f t="shared" si="121"/>
        <v>-9685.2394095333129</v>
      </c>
      <c r="L207" s="47">
        <f t="shared" si="122"/>
        <v>-5004.9532908310621</v>
      </c>
      <c r="M207" s="47">
        <f t="shared" si="123"/>
        <v>34745.681396364038</v>
      </c>
      <c r="N207" s="47">
        <f t="shared" si="124"/>
        <v>21424.867058519176</v>
      </c>
      <c r="O207" s="34"/>
      <c r="P207" s="36">
        <f t="shared" si="112"/>
        <v>0</v>
      </c>
      <c r="Q207" s="35"/>
      <c r="R207" s="33"/>
      <c r="S207" s="43"/>
      <c r="T207" s="19"/>
      <c r="U207" s="27">
        <f t="shared" si="125"/>
        <v>34745.681396364038</v>
      </c>
      <c r="V207" s="28">
        <f t="shared" si="125"/>
        <v>21424.867058519176</v>
      </c>
    </row>
    <row r="208" spans="1:22" hidden="1" outlineLevel="1" x14ac:dyDescent="0.25">
      <c r="A208" s="18"/>
      <c r="B208" s="38">
        <f t="shared" si="126"/>
        <v>8</v>
      </c>
      <c r="C208" s="54">
        <f t="shared" si="119"/>
        <v>148.50907876651374</v>
      </c>
      <c r="D208" s="33">
        <f>C208*VLOOKUP($A$201,Ταρίφες!$A$6:$G$23,$K$6,FALSE)*(1+$F$3)^(B208-1)</f>
        <v>53463.268355944943</v>
      </c>
      <c r="E208" s="33">
        <f>C208*VLOOKUP($A$201,Ταρίφες!$A$6:$G$23,$K$7,FALSE)*(1+$F$3)^(B208-1)</f>
        <v>35642.1789039633</v>
      </c>
      <c r="F208" s="46">
        <f t="shared" si="115"/>
        <v>-2067.6342017687039</v>
      </c>
      <c r="G208" s="47">
        <f t="shared" si="116"/>
        <v>-1148.6856676492798</v>
      </c>
      <c r="H208" s="47">
        <f t="shared" si="117"/>
        <v>-1378.4228011791358</v>
      </c>
      <c r="I208" s="46">
        <f t="shared" si="118"/>
        <v>-5169.0855044217587</v>
      </c>
      <c r="J208" s="47">
        <f t="shared" si="120"/>
        <v>-7180</v>
      </c>
      <c r="K208" s="47">
        <f t="shared" si="121"/>
        <v>-9495.0544470407785</v>
      </c>
      <c r="L208" s="47">
        <f t="shared" si="122"/>
        <v>-4861.5711895255508</v>
      </c>
      <c r="M208" s="47">
        <f t="shared" si="123"/>
        <v>34204.38573388529</v>
      </c>
      <c r="N208" s="47">
        <f t="shared" si="124"/>
        <v>21016.779539418872</v>
      </c>
      <c r="O208" s="34"/>
      <c r="P208" s="36">
        <f t="shared" si="112"/>
        <v>0</v>
      </c>
      <c r="Q208" s="35"/>
      <c r="R208" s="33"/>
      <c r="S208" s="43"/>
      <c r="T208" s="19"/>
      <c r="U208" s="27">
        <f t="shared" si="125"/>
        <v>34204.38573388529</v>
      </c>
      <c r="V208" s="28">
        <f t="shared" si="125"/>
        <v>21016.779539418872</v>
      </c>
    </row>
    <row r="209" spans="1:22" hidden="1" outlineLevel="1" x14ac:dyDescent="0.25">
      <c r="A209" s="18"/>
      <c r="B209" s="38">
        <f t="shared" si="126"/>
        <v>9</v>
      </c>
      <c r="C209" s="54">
        <f t="shared" si="119"/>
        <v>147.0239879788486</v>
      </c>
      <c r="D209" s="33">
        <f>C209*VLOOKUP($A$201,Ταρίφες!$A$6:$G$23,$K$6,FALSE)*(1+$F$3)^(B209-1)</f>
        <v>52928.635672385491</v>
      </c>
      <c r="E209" s="33">
        <f>C209*VLOOKUP($A$201,Ταρίφες!$A$6:$G$23,$K$7,FALSE)*(1+$F$3)^(B209-1)</f>
        <v>35285.757114923661</v>
      </c>
      <c r="F209" s="46">
        <f t="shared" si="115"/>
        <v>-2108.9868858040782</v>
      </c>
      <c r="G209" s="47">
        <f t="shared" si="116"/>
        <v>-1171.6593810022655</v>
      </c>
      <c r="H209" s="47">
        <f t="shared" si="117"/>
        <v>-1405.9912572027185</v>
      </c>
      <c r="I209" s="46">
        <f t="shared" si="118"/>
        <v>-5272.4672145101949</v>
      </c>
      <c r="J209" s="47">
        <f t="shared" si="120"/>
        <v>-7180</v>
      </c>
      <c r="K209" s="47">
        <f t="shared" si="121"/>
        <v>-9305.278042805221</v>
      </c>
      <c r="L209" s="47">
        <f t="shared" si="122"/>
        <v>-4718.1296178651446</v>
      </c>
      <c r="M209" s="47">
        <f t="shared" si="123"/>
        <v>33664.252891061013</v>
      </c>
      <c r="N209" s="47">
        <f t="shared" si="124"/>
        <v>20608.522758539257</v>
      </c>
      <c r="O209" s="34"/>
      <c r="P209" s="36">
        <f t="shared" si="112"/>
        <v>0</v>
      </c>
      <c r="Q209" s="35"/>
      <c r="R209" s="33"/>
      <c r="S209" s="43"/>
      <c r="T209" s="19"/>
      <c r="U209" s="27">
        <f t="shared" si="125"/>
        <v>33664.252891061013</v>
      </c>
      <c r="V209" s="28">
        <f t="shared" si="125"/>
        <v>20608.522758539257</v>
      </c>
    </row>
    <row r="210" spans="1:22" hidden="1" outlineLevel="1" x14ac:dyDescent="0.25">
      <c r="A210" s="18"/>
      <c r="B210" s="38">
        <f t="shared" si="126"/>
        <v>10</v>
      </c>
      <c r="C210" s="54">
        <f t="shared" si="119"/>
        <v>145.5537480990601</v>
      </c>
      <c r="D210" s="33">
        <f>C210*VLOOKUP($A$201,Ταρίφες!$A$6:$G$23,$K$6,FALSE)*(1+$F$3)^(B210-1)</f>
        <v>52399.349315661639</v>
      </c>
      <c r="E210" s="33">
        <f>C210*VLOOKUP($A$201,Ταρίφες!$A$6:$G$23,$K$7,FALSE)*(1+$F$3)^(B210-1)</f>
        <v>34932.899543774423</v>
      </c>
      <c r="F210" s="46">
        <f t="shared" si="115"/>
        <v>-2151.1666235201596</v>
      </c>
      <c r="G210" s="47">
        <f t="shared" si="116"/>
        <v>-1195.0925686223109</v>
      </c>
      <c r="H210" s="47">
        <f t="shared" si="117"/>
        <v>-1434.1110823467729</v>
      </c>
      <c r="I210" s="46">
        <f t="shared" si="118"/>
        <v>-5377.9165588003989</v>
      </c>
      <c r="J210" s="47">
        <f t="shared" si="120"/>
        <v>-7180</v>
      </c>
      <c r="K210" s="47">
        <f t="shared" si="121"/>
        <v>-9115.8762454167208</v>
      </c>
      <c r="L210" s="47">
        <f t="shared" si="122"/>
        <v>-4574.5993047260426</v>
      </c>
      <c r="M210" s="47">
        <f t="shared" si="123"/>
        <v>33125.186236955276</v>
      </c>
      <c r="N210" s="47">
        <f t="shared" si="124"/>
        <v>20200.013405758738</v>
      </c>
      <c r="O210" s="34"/>
      <c r="P210" s="36">
        <f t="shared" si="112"/>
        <v>0</v>
      </c>
      <c r="Q210" s="35"/>
      <c r="R210" s="33"/>
      <c r="S210" s="43"/>
      <c r="T210" s="19"/>
      <c r="U210" s="27">
        <f t="shared" si="125"/>
        <v>33125.186236955276</v>
      </c>
      <c r="V210" s="28">
        <f t="shared" si="125"/>
        <v>20200.013405758738</v>
      </c>
    </row>
    <row r="211" spans="1:22" hidden="1" outlineLevel="1" x14ac:dyDescent="0.25">
      <c r="A211" s="18"/>
      <c r="B211" s="38">
        <f t="shared" si="126"/>
        <v>11</v>
      </c>
      <c r="C211" s="54">
        <f t="shared" si="119"/>
        <v>144.09821061806949</v>
      </c>
      <c r="D211" s="33">
        <f>C211*VLOOKUP($A$201,Ταρίφες!$A$6:$G$23,$K$6,FALSE)*(1+$F$3)^(B211-1)</f>
        <v>51875.355822505015</v>
      </c>
      <c r="E211" s="33">
        <f>C211*VLOOKUP($A$201,Ταρίφες!$A$6:$G$23,$K$7,FALSE)*(1+$F$3)^(B211-1)</f>
        <v>34583.570548336676</v>
      </c>
      <c r="F211" s="46">
        <f t="shared" si="115"/>
        <v>-2194.1899559905628</v>
      </c>
      <c r="G211" s="47">
        <f t="shared" si="116"/>
        <v>-1218.9944199947572</v>
      </c>
      <c r="H211" s="47">
        <f t="shared" si="117"/>
        <v>-1462.7933039937086</v>
      </c>
      <c r="I211" s="46">
        <f t="shared" si="118"/>
        <v>-5485.4748899764072</v>
      </c>
      <c r="J211" s="47">
        <f t="shared" si="120"/>
        <v>-7180</v>
      </c>
      <c r="K211" s="47">
        <f t="shared" si="121"/>
        <v>-8926.8148456628915</v>
      </c>
      <c r="L211" s="47">
        <f t="shared" si="122"/>
        <v>-4430.9506743791226</v>
      </c>
      <c r="M211" s="47">
        <f t="shared" si="123"/>
        <v>32587.088406886687</v>
      </c>
      <c r="N211" s="47">
        <f t="shared" si="124"/>
        <v>19791.16730400212</v>
      </c>
      <c r="O211" s="34"/>
      <c r="P211" s="36">
        <f t="shared" si="112"/>
        <v>0</v>
      </c>
      <c r="Q211" s="35"/>
      <c r="R211" s="33"/>
      <c r="S211" s="43"/>
      <c r="T211" s="19"/>
      <c r="U211" s="27">
        <f t="shared" si="125"/>
        <v>32587.088406886687</v>
      </c>
      <c r="V211" s="28">
        <f t="shared" si="125"/>
        <v>19791.16730400212</v>
      </c>
    </row>
    <row r="212" spans="1:22" hidden="1" outlineLevel="1" x14ac:dyDescent="0.25">
      <c r="A212" s="18"/>
      <c r="B212" s="38">
        <f t="shared" si="126"/>
        <v>12</v>
      </c>
      <c r="C212" s="54">
        <f t="shared" si="119"/>
        <v>142.6572285118888</v>
      </c>
      <c r="D212" s="33">
        <f>C212*VLOOKUP($A$201,Ταρίφες!$A$6:$G$23,$K$6,FALSE)*(1+$F$3)^(B212-1)</f>
        <v>51356.602264279973</v>
      </c>
      <c r="E212" s="33">
        <f>C212*VLOOKUP($A$201,Ταρίφες!$A$6:$G$23,$K$7,FALSE)*(1+$F$3)^(B212-1)</f>
        <v>34237.734842853315</v>
      </c>
      <c r="F212" s="46">
        <f t="shared" si="115"/>
        <v>-2238.0737551103734</v>
      </c>
      <c r="G212" s="47">
        <f t="shared" si="116"/>
        <v>-1243.374308394652</v>
      </c>
      <c r="H212" s="47">
        <f t="shared" si="117"/>
        <v>-1492.0491700735824</v>
      </c>
      <c r="I212" s="46">
        <f t="shared" si="118"/>
        <v>-5595.1843877759338</v>
      </c>
      <c r="J212" s="47">
        <f t="shared" si="120"/>
        <v>-7180</v>
      </c>
      <c r="K212" s="47">
        <f t="shared" si="121"/>
        <v>-8738.0593671606111</v>
      </c>
      <c r="L212" s="47">
        <f t="shared" si="122"/>
        <v>-4287.1538375896807</v>
      </c>
      <c r="M212" s="47">
        <f t="shared" si="123"/>
        <v>32049.861275764815</v>
      </c>
      <c r="N212" s="47">
        <f t="shared" si="124"/>
        <v>19381.899383909091</v>
      </c>
      <c r="O212" s="34"/>
      <c r="P212" s="36">
        <f t="shared" si="112"/>
        <v>0</v>
      </c>
      <c r="Q212" s="35"/>
      <c r="R212" s="33"/>
      <c r="S212" s="43"/>
      <c r="T212" s="19"/>
      <c r="U212" s="27">
        <f t="shared" si="125"/>
        <v>32049.861275764815</v>
      </c>
      <c r="V212" s="28">
        <f t="shared" si="125"/>
        <v>19381.899383909091</v>
      </c>
    </row>
    <row r="213" spans="1:22" hidden="1" outlineLevel="1" x14ac:dyDescent="0.25">
      <c r="A213" s="18"/>
      <c r="B213" s="38">
        <f t="shared" si="126"/>
        <v>13</v>
      </c>
      <c r="C213" s="54">
        <f t="shared" si="119"/>
        <v>141.23065622676992</v>
      </c>
      <c r="D213" s="33">
        <f>C213*VLOOKUP($A$201,Ταρίφες!$A$6:$G$23,$K$6,FALSE)*(1+$F$3)^(B213-1)</f>
        <v>50843.036241637172</v>
      </c>
      <c r="E213" s="33">
        <f>C213*VLOOKUP($A$201,Ταρίφες!$A$6:$G$23,$K$7,FALSE)*(1+$F$3)^(B213-1)</f>
        <v>33895.357494424781</v>
      </c>
      <c r="F213" s="46">
        <f t="shared" si="115"/>
        <v>-2282.8352302125813</v>
      </c>
      <c r="G213" s="47">
        <f t="shared" si="116"/>
        <v>-1268.2417945625452</v>
      </c>
      <c r="H213" s="47">
        <f t="shared" si="117"/>
        <v>-1521.8901534750544</v>
      </c>
      <c r="I213" s="46">
        <f t="shared" si="118"/>
        <v>-5707.0880755314538</v>
      </c>
      <c r="J213" s="47">
        <f t="shared" si="120"/>
        <v>-7180</v>
      </c>
      <c r="K213" s="47">
        <f t="shared" si="121"/>
        <v>-8549.575056842441</v>
      </c>
      <c r="L213" s="47">
        <f t="shared" si="122"/>
        <v>-4143.1785825672187</v>
      </c>
      <c r="M213" s="47">
        <f t="shared" si="123"/>
        <v>31513.405931013098</v>
      </c>
      <c r="N213" s="47">
        <f t="shared" si="124"/>
        <v>18972.123658075929</v>
      </c>
      <c r="O213" s="34"/>
      <c r="P213" s="36">
        <f t="shared" si="112"/>
        <v>0</v>
      </c>
      <c r="Q213" s="35"/>
      <c r="R213" s="33"/>
      <c r="S213" s="43"/>
      <c r="T213" s="19"/>
      <c r="U213" s="27">
        <f t="shared" si="125"/>
        <v>31513.405931013098</v>
      </c>
      <c r="V213" s="28">
        <f t="shared" si="125"/>
        <v>18972.123658075929</v>
      </c>
    </row>
    <row r="214" spans="1:22" hidden="1" outlineLevel="1" x14ac:dyDescent="0.25">
      <c r="A214" s="18"/>
      <c r="B214" s="38">
        <f t="shared" si="126"/>
        <v>14</v>
      </c>
      <c r="C214" s="54">
        <f t="shared" si="119"/>
        <v>139.81834966450222</v>
      </c>
      <c r="D214" s="33">
        <f>C214*VLOOKUP($A$201,Ταρίφες!$A$6:$G$23,$K$6,FALSE)*(1+$F$3)^(B214-1)</f>
        <v>50334.605879220799</v>
      </c>
      <c r="E214" s="33">
        <f>C214*VLOOKUP($A$201,Ταρίφες!$A$6:$G$23,$K$7,FALSE)*(1+$F$3)^(B214-1)</f>
        <v>33556.40391948053</v>
      </c>
      <c r="F214" s="46">
        <f t="shared" si="115"/>
        <v>-2328.4919348168328</v>
      </c>
      <c r="G214" s="47">
        <f t="shared" si="116"/>
        <v>-1293.606630453796</v>
      </c>
      <c r="H214" s="47">
        <f t="shared" si="117"/>
        <v>-1552.3279565445553</v>
      </c>
      <c r="I214" s="46">
        <f t="shared" si="118"/>
        <v>-5821.2298370420822</v>
      </c>
      <c r="J214" s="47">
        <f t="shared" si="120"/>
        <v>-7180</v>
      </c>
      <c r="K214" s="47">
        <f t="shared" si="121"/>
        <v>-8361.3268752945187</v>
      </c>
      <c r="L214" s="47">
        <f t="shared" si="122"/>
        <v>-3998.9943657620483</v>
      </c>
      <c r="M214" s="47">
        <f t="shared" si="123"/>
        <v>30977.622645069012</v>
      </c>
      <c r="N214" s="47">
        <f t="shared" si="124"/>
        <v>18561.753194861212</v>
      </c>
      <c r="O214" s="34"/>
      <c r="P214" s="36">
        <f t="shared" si="112"/>
        <v>0</v>
      </c>
      <c r="Q214" s="35"/>
      <c r="R214" s="33"/>
      <c r="S214" s="43"/>
      <c r="T214" s="19"/>
      <c r="U214" s="27">
        <f t="shared" si="125"/>
        <v>30977.622645069012</v>
      </c>
      <c r="V214" s="28">
        <f t="shared" si="125"/>
        <v>18561.753194861212</v>
      </c>
    </row>
    <row r="215" spans="1:22" hidden="1" outlineLevel="1" x14ac:dyDescent="0.25">
      <c r="A215" s="18"/>
      <c r="B215" s="38">
        <f t="shared" si="126"/>
        <v>15</v>
      </c>
      <c r="C215" s="54">
        <f t="shared" si="119"/>
        <v>138.42016616785719</v>
      </c>
      <c r="D215" s="33">
        <f>C215*VLOOKUP($A$201,Ταρίφες!$A$6:$G$23,$K$6,FALSE)*(1+$F$3)^(B215-1)</f>
        <v>49831.25982042859</v>
      </c>
      <c r="E215" s="33">
        <f>C215*VLOOKUP($A$201,Ταρίφες!$A$6:$G$23,$K$7,FALSE)*(1+$F$3)^(B215-1)</f>
        <v>33220.839880285726</v>
      </c>
      <c r="F215" s="46">
        <f t="shared" si="115"/>
        <v>-2375.06177351317</v>
      </c>
      <c r="G215" s="47">
        <f t="shared" si="116"/>
        <v>-1319.4787630628721</v>
      </c>
      <c r="H215" s="47">
        <f t="shared" si="117"/>
        <v>-1583.3745156754467</v>
      </c>
      <c r="I215" s="46">
        <f t="shared" si="118"/>
        <v>-5937.6544337829246</v>
      </c>
      <c r="J215" s="47">
        <f t="shared" si="120"/>
        <v>-7180</v>
      </c>
      <c r="K215" s="47">
        <f t="shared" si="121"/>
        <v>-8173.2794869424861</v>
      </c>
      <c r="L215" s="47">
        <f t="shared" si="122"/>
        <v>-3854.5703025053417</v>
      </c>
      <c r="M215" s="47">
        <f t="shared" si="123"/>
        <v>30442.410847451694</v>
      </c>
      <c r="N215" s="47">
        <f t="shared" si="124"/>
        <v>18150.700091745974</v>
      </c>
      <c r="O215" s="34"/>
      <c r="P215" s="36">
        <f t="shared" si="112"/>
        <v>0</v>
      </c>
      <c r="Q215" s="35"/>
      <c r="R215" s="33"/>
      <c r="S215" s="43"/>
      <c r="T215" s="19"/>
      <c r="U215" s="27">
        <f t="shared" si="125"/>
        <v>30442.410847451694</v>
      </c>
      <c r="V215" s="28">
        <f t="shared" si="125"/>
        <v>18150.700091745974</v>
      </c>
    </row>
    <row r="216" spans="1:22" hidden="1" outlineLevel="1" x14ac:dyDescent="0.25">
      <c r="A216" s="18"/>
      <c r="B216" s="38">
        <f t="shared" si="126"/>
        <v>16</v>
      </c>
      <c r="C216" s="54">
        <f t="shared" si="119"/>
        <v>137.03596450617863</v>
      </c>
      <c r="D216" s="33">
        <f>C216*VLOOKUP($A$201,Ταρίφες!$A$6:$G$23,$K$6,FALSE)*(1+$F$3)^(B216-1)</f>
        <v>49332.947222224306</v>
      </c>
      <c r="E216" s="33">
        <f>C216*VLOOKUP($A$201,Ταρίφες!$A$6:$G$23,$K$7,FALSE)*(1+$F$3)^(B216-1)</f>
        <v>32888.631481482873</v>
      </c>
      <c r="F216" s="46">
        <f t="shared" si="115"/>
        <v>-2422.5630089834326</v>
      </c>
      <c r="G216" s="47">
        <f t="shared" si="116"/>
        <v>-1345.8683383241291</v>
      </c>
      <c r="H216" s="47">
        <f t="shared" si="117"/>
        <v>-1615.042005988955</v>
      </c>
      <c r="I216" s="46">
        <f t="shared" si="118"/>
        <v>-6056.4075224585813</v>
      </c>
      <c r="J216" s="47">
        <f t="shared" si="120"/>
        <v>-7180</v>
      </c>
      <c r="K216" s="47">
        <f t="shared" si="121"/>
        <v>-7985.3972500819946</v>
      </c>
      <c r="L216" s="47">
        <f t="shared" si="122"/>
        <v>-3709.8751574892217</v>
      </c>
      <c r="M216" s="47">
        <f t="shared" si="123"/>
        <v>29907.66909638721</v>
      </c>
      <c r="N216" s="47">
        <f t="shared" si="124"/>
        <v>17738.875448238552</v>
      </c>
      <c r="O216" s="34"/>
      <c r="P216" s="36">
        <f t="shared" si="112"/>
        <v>0</v>
      </c>
      <c r="Q216" s="35"/>
      <c r="R216" s="33"/>
      <c r="S216" s="43"/>
      <c r="T216" s="19"/>
      <c r="U216" s="27">
        <f t="shared" si="125"/>
        <v>29907.66909638721</v>
      </c>
      <c r="V216" s="28">
        <f t="shared" si="125"/>
        <v>17738.875448238552</v>
      </c>
    </row>
    <row r="217" spans="1:22" hidden="1" outlineLevel="1" x14ac:dyDescent="0.25">
      <c r="A217" s="18"/>
      <c r="B217" s="38">
        <f t="shared" si="126"/>
        <v>17</v>
      </c>
      <c r="C217" s="54">
        <f t="shared" si="119"/>
        <v>135.66560486111683</v>
      </c>
      <c r="D217" s="33">
        <f>C217*VLOOKUP($A$201,Ταρίφες!$A$6:$G$23,$K$6,FALSE)*(1+$F$3)^(B217-1)</f>
        <v>48839.617750002057</v>
      </c>
      <c r="E217" s="33">
        <f>C217*VLOOKUP($A$201,Ταρίφες!$A$6:$G$23,$K$7,FALSE)*(1+$F$3)^(B217-1)</f>
        <v>32559.745166668039</v>
      </c>
      <c r="F217" s="46">
        <f t="shared" si="115"/>
        <v>-2471.0142691631017</v>
      </c>
      <c r="G217" s="47">
        <f t="shared" si="116"/>
        <v>-1372.7857050906121</v>
      </c>
      <c r="H217" s="47">
        <f t="shared" si="117"/>
        <v>-1647.3428461087344</v>
      </c>
      <c r="I217" s="46">
        <f t="shared" si="118"/>
        <v>-6177.5356729077539</v>
      </c>
      <c r="J217" s="47">
        <f t="shared" si="120"/>
        <v>-7180</v>
      </c>
      <c r="K217" s="47">
        <f t="shared" si="121"/>
        <v>-7797.6442067502821</v>
      </c>
      <c r="L217" s="47">
        <f t="shared" si="122"/>
        <v>-3564.8773350834376</v>
      </c>
      <c r="M217" s="47">
        <f t="shared" si="123"/>
        <v>29373.295049981574</v>
      </c>
      <c r="N217" s="47">
        <f t="shared" si="124"/>
        <v>17326.189338314398</v>
      </c>
      <c r="O217" s="34"/>
      <c r="P217" s="36">
        <f t="shared" si="112"/>
        <v>0</v>
      </c>
      <c r="Q217" s="35"/>
      <c r="R217" s="33"/>
      <c r="S217" s="43"/>
      <c r="T217" s="19"/>
      <c r="U217" s="27">
        <f t="shared" si="125"/>
        <v>29373.295049981574</v>
      </c>
      <c r="V217" s="28">
        <f t="shared" si="125"/>
        <v>17326.189338314398</v>
      </c>
    </row>
    <row r="218" spans="1:22" hidden="1" outlineLevel="1" x14ac:dyDescent="0.25">
      <c r="A218" s="18"/>
      <c r="B218" s="38">
        <f t="shared" si="126"/>
        <v>18</v>
      </c>
      <c r="C218" s="54">
        <f t="shared" si="119"/>
        <v>134.30894881250566</v>
      </c>
      <c r="D218" s="33">
        <f>C218*VLOOKUP($A$201,Ταρίφες!$A$6:$G$23,$K$6,FALSE)*(1+$F$3)^(B218-1)</f>
        <v>48351.221572502036</v>
      </c>
      <c r="E218" s="33">
        <f>C218*VLOOKUP($A$201,Ταρίφες!$A$6:$G$23,$K$7,FALSE)*(1+$F$3)^(B218-1)</f>
        <v>32234.14771500136</v>
      </c>
      <c r="F218" s="46">
        <f t="shared" si="115"/>
        <v>-2520.4345545463639</v>
      </c>
      <c r="G218" s="47">
        <f t="shared" si="116"/>
        <v>-1400.2414191924245</v>
      </c>
      <c r="H218" s="47">
        <f t="shared" si="117"/>
        <v>-1680.2897030309093</v>
      </c>
      <c r="I218" s="46">
        <f t="shared" si="118"/>
        <v>-6301.0863863659097</v>
      </c>
      <c r="J218" s="47">
        <f t="shared" si="120"/>
        <v>-7180</v>
      </c>
      <c r="K218" s="47">
        <f t="shared" si="121"/>
        <v>-7609.9840724352716</v>
      </c>
      <c r="L218" s="47">
        <f t="shared" si="122"/>
        <v>-3419.5448694850957</v>
      </c>
      <c r="M218" s="47">
        <f t="shared" si="123"/>
        <v>28839.185436931159</v>
      </c>
      <c r="N218" s="47">
        <f t="shared" si="124"/>
        <v>16912.550782380655</v>
      </c>
      <c r="O218" s="34"/>
      <c r="P218" s="36">
        <f t="shared" si="112"/>
        <v>0</v>
      </c>
      <c r="Q218" s="35"/>
      <c r="R218" s="33"/>
      <c r="S218" s="43"/>
      <c r="T218" s="19"/>
      <c r="U218" s="27">
        <f t="shared" si="125"/>
        <v>28839.185436931159</v>
      </c>
      <c r="V218" s="28">
        <f t="shared" si="125"/>
        <v>16912.550782380655</v>
      </c>
    </row>
    <row r="219" spans="1:22" hidden="1" outlineLevel="1" x14ac:dyDescent="0.25">
      <c r="A219" s="18"/>
      <c r="B219" s="38">
        <f t="shared" si="126"/>
        <v>19</v>
      </c>
      <c r="C219" s="54">
        <f t="shared" si="119"/>
        <v>132.9658593243806</v>
      </c>
      <c r="D219" s="33">
        <f>C219*VLOOKUP($A$201,Ταρίφες!$A$6:$G$23,$K$6,FALSE)*(1+$F$3)^(B219-1)</f>
        <v>47867.709356777013</v>
      </c>
      <c r="E219" s="33">
        <f>C219*VLOOKUP($A$201,Ταρίφες!$A$6:$G$23,$K$7,FALSE)*(1+$F$3)^(B219-1)</f>
        <v>31911.806237851346</v>
      </c>
      <c r="F219" s="46">
        <f t="shared" si="115"/>
        <v>-2570.8432456372907</v>
      </c>
      <c r="G219" s="47">
        <f t="shared" si="116"/>
        <v>-1428.2462475762727</v>
      </c>
      <c r="H219" s="47">
        <f t="shared" si="117"/>
        <v>-1713.8954970915272</v>
      </c>
      <c r="I219" s="46">
        <f t="shared" si="118"/>
        <v>-6427.1081140932274</v>
      </c>
      <c r="J219" s="47">
        <f t="shared" si="120"/>
        <v>-7180</v>
      </c>
      <c r="K219" s="47">
        <f t="shared" si="121"/>
        <v>-7422.3802256184608</v>
      </c>
      <c r="L219" s="47">
        <f t="shared" si="122"/>
        <v>-3273.8454146977874</v>
      </c>
      <c r="M219" s="47">
        <f t="shared" si="123"/>
        <v>28305.236026760231</v>
      </c>
      <c r="N219" s="47">
        <f t="shared" si="124"/>
        <v>16497.867718755238</v>
      </c>
      <c r="O219" s="34"/>
      <c r="P219" s="36">
        <f t="shared" si="112"/>
        <v>0</v>
      </c>
      <c r="Q219" s="35"/>
      <c r="R219" s="33"/>
      <c r="S219" s="43"/>
      <c r="T219" s="19"/>
      <c r="U219" s="27">
        <f t="shared" si="125"/>
        <v>28305.236026760231</v>
      </c>
      <c r="V219" s="28">
        <f t="shared" si="125"/>
        <v>16497.867718755238</v>
      </c>
    </row>
    <row r="220" spans="1:22" hidden="1" outlineLevel="1" x14ac:dyDescent="0.25">
      <c r="A220" s="18"/>
      <c r="B220" s="38">
        <f>B219+1</f>
        <v>20</v>
      </c>
      <c r="C220" s="54">
        <f>C219*(1-$F$2)</f>
        <v>131.6362007311368</v>
      </c>
      <c r="D220" s="33">
        <f>C220*VLOOKUP($A$201,Ταρίφες!$A$6:$G$23,$K$6,FALSE)*(1+$F$3)^(B220-1)</f>
        <v>47389.032263209243</v>
      </c>
      <c r="E220" s="33">
        <f>C220*VLOOKUP($A$201,Ταρίφες!$A$6:$G$23,$K$7,FALSE)*(1+$F$3)^(B220-1)</f>
        <v>31592.688175472831</v>
      </c>
      <c r="F220" s="46">
        <f t="shared" si="115"/>
        <v>-2622.2601105500366</v>
      </c>
      <c r="G220" s="47">
        <f t="shared" si="116"/>
        <v>-1456.8111725277981</v>
      </c>
      <c r="H220" s="47">
        <f>-$K$4*(1+$F$4)^(B220-$B$12)</f>
        <v>-1748.1734070333578</v>
      </c>
      <c r="I220" s="46">
        <f>-(4500*(1+$F$4)^(B220-$B$12))</f>
        <v>-6555.6502763750914</v>
      </c>
      <c r="J220" s="47">
        <f t="shared" si="120"/>
        <v>-7180</v>
      </c>
      <c r="K220" s="47">
        <f>-(D220+SUM(F220:J220))*$F$5</f>
        <v>-7234.7956971479698</v>
      </c>
      <c r="L220" s="47">
        <f>-(E220+SUM(F220:J220))*$F$5</f>
        <v>-3127.7462343365023</v>
      </c>
      <c r="M220" s="47">
        <f>D220+SUM(F220:I220)+K220</f>
        <v>27771.341599574986</v>
      </c>
      <c r="N220" s="47">
        <f>E220+SUM(F220:I220)+L220</f>
        <v>16082.046974650044</v>
      </c>
      <c r="O220" s="34"/>
      <c r="P220" s="36">
        <f t="shared" si="112"/>
        <v>0</v>
      </c>
      <c r="Q220" s="35"/>
      <c r="R220" s="33"/>
      <c r="S220" s="43"/>
      <c r="T220" s="19"/>
      <c r="U220" s="27">
        <f>M220</f>
        <v>27771.341599574986</v>
      </c>
      <c r="V220" s="28">
        <f>N220</f>
        <v>16082.046974650044</v>
      </c>
    </row>
    <row r="221" spans="1:22" s="40" customFormat="1" hidden="1" outlineLevel="1" x14ac:dyDescent="0.25">
      <c r="O221" s="17"/>
      <c r="P221" s="36">
        <f t="shared" si="112"/>
        <v>0</v>
      </c>
      <c r="Q221" s="25"/>
      <c r="R221" s="22"/>
      <c r="S221" s="52"/>
      <c r="T221" s="44"/>
      <c r="U221" s="74">
        <f>O222</f>
        <v>-164500</v>
      </c>
      <c r="V221" s="74">
        <f>R222</f>
        <v>-120097.98738198806</v>
      </c>
    </row>
    <row r="222" spans="1:22" collapsed="1" x14ac:dyDescent="0.25">
      <c r="A222" s="32" t="str">
        <f>Ταρίφες!A20</f>
        <v>Γ Τριμ. 2012</v>
      </c>
      <c r="B222" s="38">
        <f>1</f>
        <v>1</v>
      </c>
      <c r="C222" s="54">
        <f>$F$8*$K$2/1000</f>
        <v>159.33333333333331</v>
      </c>
      <c r="D222" s="33">
        <f>C222*VLOOKUP($A$222,Ταρίφες!$A$6:$G$23,$K$6,FALSE)*(1+$F$3)^(B222-1)</f>
        <v>57359.999999999993</v>
      </c>
      <c r="E222" s="33">
        <f>C222*VLOOKUP($A$222,Ταρίφες!$A$6:$G$23,$K$7,FALSE)*(1+$F$3)^(B222-1)</f>
        <v>35849.999999999993</v>
      </c>
      <c r="F222" s="46">
        <f t="shared" ref="F222:F241" si="127">-($K$5*(1+$F$4)^(B222-$B$12))</f>
        <v>-1800</v>
      </c>
      <c r="G222" s="47">
        <f t="shared" ref="G222:G241" si="128">-$K$2*10*(1+$F$4)^(B222-$B$12)</f>
        <v>-1000</v>
      </c>
      <c r="H222" s="47">
        <f t="shared" ref="H222:H240" si="129">-$K$4*(1+$F$4)^(B222-$B$12)</f>
        <v>-1200</v>
      </c>
      <c r="I222" s="46">
        <f t="shared" ref="I222:I240" si="130">-(4500*(1+$F$4)^(B222-$B$12))</f>
        <v>-4500</v>
      </c>
      <c r="J222" s="47">
        <f>$O$222*4%</f>
        <v>-6580</v>
      </c>
      <c r="K222" s="47">
        <f>-(D222+SUM(F222:J222))*$F$5</f>
        <v>-10992.8</v>
      </c>
      <c r="L222" s="47">
        <f>-(E222+SUM(F222:J222))*$F$5</f>
        <v>-5400.199999999998</v>
      </c>
      <c r="M222" s="47">
        <f>D222+SUM(F222:I222)+K222</f>
        <v>37867.199999999997</v>
      </c>
      <c r="N222" s="47">
        <f>E222+SUM(F222:I222)+L222</f>
        <v>21949.799999999996</v>
      </c>
      <c r="O222" s="35">
        <f>-VLOOKUP(A222,'Κόστος Κατασκευής'!$A$4:$Q$17,$K$8,FALSE)</f>
        <v>-164500</v>
      </c>
      <c r="P222" s="36">
        <f t="shared" si="112"/>
        <v>65800</v>
      </c>
      <c r="Q222" s="36">
        <f>Q201*15/16</f>
        <v>-21397.987381988059</v>
      </c>
      <c r="R222" s="37">
        <f>SUM(O222:Q222)</f>
        <v>-120097.98738198806</v>
      </c>
      <c r="S222" s="42">
        <f>IRR(U221:U241)</f>
        <v>0.21131463254256122</v>
      </c>
      <c r="T222" s="42">
        <f>IRR(V221:V241)</f>
        <v>0.15668917509411684</v>
      </c>
      <c r="U222" s="27">
        <f>M222</f>
        <v>37867.199999999997</v>
      </c>
      <c r="V222" s="28">
        <f>N222</f>
        <v>21949.799999999996</v>
      </c>
    </row>
    <row r="223" spans="1:22" hidden="1" outlineLevel="1" x14ac:dyDescent="0.25">
      <c r="A223" s="18"/>
      <c r="B223" s="38">
        <f>B222+1</f>
        <v>2</v>
      </c>
      <c r="C223" s="54">
        <f t="shared" ref="C223:C240" si="131">C222*(1-$F$2)</f>
        <v>157.73999999999998</v>
      </c>
      <c r="D223" s="33">
        <f>C223*VLOOKUP($A$222,Ταρίφες!$A$6:$G$23,$K$6,FALSE)*(1+$F$3)^(B223-1)</f>
        <v>56786.399999999994</v>
      </c>
      <c r="E223" s="33">
        <f>C223*VLOOKUP($A$222,Ταρίφες!$A$6:$G$23,$K$7,FALSE)*(1+$F$3)^(B223-1)</f>
        <v>35491.499999999993</v>
      </c>
      <c r="F223" s="46">
        <f t="shared" si="127"/>
        <v>-1836</v>
      </c>
      <c r="G223" s="47">
        <f t="shared" si="128"/>
        <v>-1020</v>
      </c>
      <c r="H223" s="47">
        <f t="shared" si="129"/>
        <v>-1224</v>
      </c>
      <c r="I223" s="46">
        <f t="shared" si="130"/>
        <v>-4590</v>
      </c>
      <c r="J223" s="47">
        <f t="shared" ref="J223:J241" si="132">$O$222*4%</f>
        <v>-6580</v>
      </c>
      <c r="K223" s="47">
        <f t="shared" ref="K223:K240" si="133">-(D223+SUM(F223:J223))*$F$5</f>
        <v>-10799.463999999998</v>
      </c>
      <c r="L223" s="47">
        <f t="shared" ref="L223:L240" si="134">-(E223+SUM(F223:J223))*$F$5</f>
        <v>-5262.7899999999981</v>
      </c>
      <c r="M223" s="47">
        <f t="shared" ref="M223:M240" si="135">D223+SUM(F223:I223)+K223</f>
        <v>37316.935999999994</v>
      </c>
      <c r="N223" s="47">
        <f t="shared" ref="N223:N240" si="136">E223+SUM(F223:I223)+L223</f>
        <v>21558.709999999995</v>
      </c>
      <c r="O223" s="34"/>
      <c r="P223" s="36">
        <f t="shared" si="112"/>
        <v>0</v>
      </c>
      <c r="Q223" s="35"/>
      <c r="R223" s="33"/>
      <c r="S223" s="43"/>
      <c r="T223" s="19"/>
      <c r="U223" s="27">
        <f t="shared" ref="U223:V240" si="137">M223</f>
        <v>37316.935999999994</v>
      </c>
      <c r="V223" s="28">
        <f t="shared" si="137"/>
        <v>21558.709999999995</v>
      </c>
    </row>
    <row r="224" spans="1:22" hidden="1" outlineLevel="1" x14ac:dyDescent="0.25">
      <c r="A224" s="18"/>
      <c r="B224" s="38">
        <f t="shared" ref="B224:B240" si="138">B223+1</f>
        <v>3</v>
      </c>
      <c r="C224" s="54">
        <f t="shared" si="131"/>
        <v>156.16259999999997</v>
      </c>
      <c r="D224" s="33">
        <f>C224*VLOOKUP($A$222,Ταρίφες!$A$6:$G$23,$K$6,FALSE)*(1+$F$3)^(B224-1)</f>
        <v>56218.535999999986</v>
      </c>
      <c r="E224" s="33">
        <f>C224*VLOOKUP($A$222,Ταρίφες!$A$6:$G$23,$K$7,FALSE)*(1+$F$3)^(B224-1)</f>
        <v>35136.584999999992</v>
      </c>
      <c r="F224" s="46">
        <f t="shared" si="127"/>
        <v>-1872.72</v>
      </c>
      <c r="G224" s="47">
        <f t="shared" si="128"/>
        <v>-1040.4000000000001</v>
      </c>
      <c r="H224" s="47">
        <f t="shared" si="129"/>
        <v>-1248.48</v>
      </c>
      <c r="I224" s="46">
        <f t="shared" si="130"/>
        <v>-4681.8</v>
      </c>
      <c r="J224" s="47">
        <f t="shared" si="132"/>
        <v>-6580</v>
      </c>
      <c r="K224" s="47">
        <f t="shared" si="133"/>
        <v>-10606.735359999997</v>
      </c>
      <c r="L224" s="47">
        <f t="shared" si="134"/>
        <v>-5125.4280999999974</v>
      </c>
      <c r="M224" s="47">
        <f t="shared" si="135"/>
        <v>36768.400639999985</v>
      </c>
      <c r="N224" s="47">
        <f t="shared" si="136"/>
        <v>21167.756899999993</v>
      </c>
      <c r="O224" s="34"/>
      <c r="P224" s="36">
        <f t="shared" si="112"/>
        <v>0</v>
      </c>
      <c r="Q224" s="35"/>
      <c r="R224" s="33"/>
      <c r="S224" s="43"/>
      <c r="T224" s="19"/>
      <c r="U224" s="27">
        <f t="shared" si="137"/>
        <v>36768.400639999985</v>
      </c>
      <c r="V224" s="28">
        <f t="shared" si="137"/>
        <v>21167.756899999993</v>
      </c>
    </row>
    <row r="225" spans="1:22" hidden="1" outlineLevel="1" x14ac:dyDescent="0.25">
      <c r="A225" s="18"/>
      <c r="B225" s="38">
        <f t="shared" si="138"/>
        <v>4</v>
      </c>
      <c r="C225" s="54">
        <f t="shared" si="131"/>
        <v>154.60097399999998</v>
      </c>
      <c r="D225" s="33">
        <f>C225*VLOOKUP($A$222,Ταρίφες!$A$6:$G$23,$K$6,FALSE)*(1+$F$3)^(B225-1)</f>
        <v>55656.35063999999</v>
      </c>
      <c r="E225" s="33">
        <f>C225*VLOOKUP($A$222,Ταρίφες!$A$6:$G$23,$K$7,FALSE)*(1+$F$3)^(B225-1)</f>
        <v>34785.219149999997</v>
      </c>
      <c r="F225" s="46">
        <f t="shared" si="127"/>
        <v>-1910.1743999999999</v>
      </c>
      <c r="G225" s="47">
        <f t="shared" si="128"/>
        <v>-1061.2079999999999</v>
      </c>
      <c r="H225" s="47">
        <f t="shared" si="129"/>
        <v>-1273.4495999999999</v>
      </c>
      <c r="I225" s="46">
        <f t="shared" si="130"/>
        <v>-4775.4359999999997</v>
      </c>
      <c r="J225" s="47">
        <f t="shared" si="132"/>
        <v>-6580</v>
      </c>
      <c r="K225" s="47">
        <f t="shared" si="133"/>
        <v>-10414.581486399999</v>
      </c>
      <c r="L225" s="47">
        <f t="shared" si="134"/>
        <v>-4988.0872989999998</v>
      </c>
      <c r="M225" s="47">
        <f t="shared" si="135"/>
        <v>36221.501153599995</v>
      </c>
      <c r="N225" s="47">
        <f t="shared" si="136"/>
        <v>20776.863850999998</v>
      </c>
      <c r="O225" s="34"/>
      <c r="P225" s="36">
        <f t="shared" si="112"/>
        <v>0</v>
      </c>
      <c r="Q225" s="35"/>
      <c r="R225" s="33"/>
      <c r="S225" s="43"/>
      <c r="T225" s="19"/>
      <c r="U225" s="27">
        <f t="shared" si="137"/>
        <v>36221.501153599995</v>
      </c>
      <c r="V225" s="28">
        <f t="shared" si="137"/>
        <v>20776.863850999998</v>
      </c>
    </row>
    <row r="226" spans="1:22" hidden="1" outlineLevel="1" x14ac:dyDescent="0.25">
      <c r="A226" s="18"/>
      <c r="B226" s="38">
        <f t="shared" si="138"/>
        <v>5</v>
      </c>
      <c r="C226" s="54">
        <f t="shared" si="131"/>
        <v>153.05496425999999</v>
      </c>
      <c r="D226" s="33">
        <f>C226*VLOOKUP($A$222,Ταρίφες!$A$6:$G$23,$K$6,FALSE)*(1+$F$3)^(B226-1)</f>
        <v>55099.787133599995</v>
      </c>
      <c r="E226" s="33">
        <f>C226*VLOOKUP($A$222,Ταρίφες!$A$6:$G$23,$K$7,FALSE)*(1+$F$3)^(B226-1)</f>
        <v>34437.366958499995</v>
      </c>
      <c r="F226" s="46">
        <f t="shared" si="127"/>
        <v>-1948.377888</v>
      </c>
      <c r="G226" s="47">
        <f t="shared" si="128"/>
        <v>-1082.4321600000001</v>
      </c>
      <c r="H226" s="47">
        <f t="shared" si="129"/>
        <v>-1298.918592</v>
      </c>
      <c r="I226" s="46">
        <f t="shared" si="130"/>
        <v>-4870.9447199999995</v>
      </c>
      <c r="J226" s="47">
        <f t="shared" si="132"/>
        <v>-6580</v>
      </c>
      <c r="K226" s="47">
        <f t="shared" si="133"/>
        <v>-10222.969581136</v>
      </c>
      <c r="L226" s="47">
        <f t="shared" si="134"/>
        <v>-4850.7403356099985</v>
      </c>
      <c r="M226" s="47">
        <f t="shared" si="135"/>
        <v>35676.144192463995</v>
      </c>
      <c r="N226" s="47">
        <f t="shared" si="136"/>
        <v>20385.953262889998</v>
      </c>
      <c r="O226" s="34"/>
      <c r="P226" s="36">
        <f t="shared" si="112"/>
        <v>0</v>
      </c>
      <c r="Q226" s="35"/>
      <c r="R226" s="33"/>
      <c r="S226" s="43"/>
      <c r="T226" s="19"/>
      <c r="U226" s="27">
        <f t="shared" si="137"/>
        <v>35676.144192463995</v>
      </c>
      <c r="V226" s="28">
        <f t="shared" si="137"/>
        <v>20385.953262889998</v>
      </c>
    </row>
    <row r="227" spans="1:22" hidden="1" outlineLevel="1" x14ac:dyDescent="0.25">
      <c r="A227" s="18"/>
      <c r="B227" s="38">
        <f t="shared" si="138"/>
        <v>6</v>
      </c>
      <c r="C227" s="54">
        <f t="shared" si="131"/>
        <v>151.5244146174</v>
      </c>
      <c r="D227" s="33">
        <f>C227*VLOOKUP($A$222,Ταρίφες!$A$6:$G$23,$K$6,FALSE)*(1+$F$3)^(B227-1)</f>
        <v>54548.789262263999</v>
      </c>
      <c r="E227" s="33">
        <f>C227*VLOOKUP($A$222,Ταρίφες!$A$6:$G$23,$K$7,FALSE)*(1+$F$3)^(B227-1)</f>
        <v>34092.993288915</v>
      </c>
      <c r="F227" s="46">
        <f t="shared" si="127"/>
        <v>-1987.3454457600001</v>
      </c>
      <c r="G227" s="47">
        <f t="shared" si="128"/>
        <v>-1104.0808032</v>
      </c>
      <c r="H227" s="47">
        <f t="shared" si="129"/>
        <v>-1324.8969638400001</v>
      </c>
      <c r="I227" s="46">
        <f t="shared" si="130"/>
        <v>-4968.3636144000002</v>
      </c>
      <c r="J227" s="47">
        <f t="shared" si="132"/>
        <v>-6580</v>
      </c>
      <c r="K227" s="47">
        <f t="shared" si="133"/>
        <v>-10031.866633116641</v>
      </c>
      <c r="L227" s="47">
        <f t="shared" si="134"/>
        <v>-4713.3596800459009</v>
      </c>
      <c r="M227" s="47">
        <f t="shared" si="135"/>
        <v>35132.235801947361</v>
      </c>
      <c r="N227" s="47">
        <f t="shared" si="136"/>
        <v>19994.946781669099</v>
      </c>
      <c r="O227" s="34"/>
      <c r="P227" s="36">
        <f t="shared" si="112"/>
        <v>0</v>
      </c>
      <c r="Q227" s="35"/>
      <c r="R227" s="33"/>
      <c r="S227" s="43"/>
      <c r="T227" s="19"/>
      <c r="U227" s="27">
        <f t="shared" si="137"/>
        <v>35132.235801947361</v>
      </c>
      <c r="V227" s="28">
        <f t="shared" si="137"/>
        <v>19994.946781669099</v>
      </c>
    </row>
    <row r="228" spans="1:22" hidden="1" outlineLevel="1" x14ac:dyDescent="0.25">
      <c r="A228" s="18"/>
      <c r="B228" s="38">
        <f t="shared" si="138"/>
        <v>7</v>
      </c>
      <c r="C228" s="54">
        <f t="shared" si="131"/>
        <v>150.00917047122599</v>
      </c>
      <c r="D228" s="33">
        <f>C228*VLOOKUP($A$222,Ταρίφες!$A$6:$G$23,$K$6,FALSE)*(1+$F$3)^(B228-1)</f>
        <v>54003.301369641355</v>
      </c>
      <c r="E228" s="33">
        <f>C228*VLOOKUP($A$222,Ταρίφες!$A$6:$G$23,$K$7,FALSE)*(1+$F$3)^(B228-1)</f>
        <v>33752.06335602585</v>
      </c>
      <c r="F228" s="46">
        <f t="shared" si="127"/>
        <v>-2027.0923546752001</v>
      </c>
      <c r="G228" s="47">
        <f t="shared" si="128"/>
        <v>-1126.1624192640002</v>
      </c>
      <c r="H228" s="47">
        <f t="shared" si="129"/>
        <v>-1351.3949031168002</v>
      </c>
      <c r="I228" s="46">
        <f t="shared" si="130"/>
        <v>-5067.7308866880003</v>
      </c>
      <c r="J228" s="47">
        <f t="shared" si="132"/>
        <v>-6580</v>
      </c>
      <c r="K228" s="47">
        <f t="shared" si="133"/>
        <v>-9841.2394095333129</v>
      </c>
      <c r="L228" s="47">
        <f t="shared" si="134"/>
        <v>-4575.9175259932808</v>
      </c>
      <c r="M228" s="47">
        <f t="shared" si="135"/>
        <v>34589.681396364038</v>
      </c>
      <c r="N228" s="47">
        <f t="shared" si="136"/>
        <v>19603.765266288567</v>
      </c>
      <c r="O228" s="34"/>
      <c r="P228" s="36">
        <f t="shared" si="112"/>
        <v>0</v>
      </c>
      <c r="Q228" s="35"/>
      <c r="R228" s="33"/>
      <c r="S228" s="43"/>
      <c r="T228" s="19"/>
      <c r="U228" s="27">
        <f t="shared" si="137"/>
        <v>34589.681396364038</v>
      </c>
      <c r="V228" s="28">
        <f t="shared" si="137"/>
        <v>19603.765266288567</v>
      </c>
    </row>
    <row r="229" spans="1:22" hidden="1" outlineLevel="1" x14ac:dyDescent="0.25">
      <c r="A229" s="18"/>
      <c r="B229" s="38">
        <f t="shared" si="138"/>
        <v>8</v>
      </c>
      <c r="C229" s="54">
        <f t="shared" si="131"/>
        <v>148.50907876651374</v>
      </c>
      <c r="D229" s="33">
        <f>C229*VLOOKUP($A$222,Ταρίφες!$A$6:$G$23,$K$6,FALSE)*(1+$F$3)^(B229-1)</f>
        <v>53463.268355944943</v>
      </c>
      <c r="E229" s="33">
        <f>C229*VLOOKUP($A$222,Ταρίφες!$A$6:$G$23,$K$7,FALSE)*(1+$F$3)^(B229-1)</f>
        <v>33414.542722465594</v>
      </c>
      <c r="F229" s="46">
        <f t="shared" si="127"/>
        <v>-2067.6342017687039</v>
      </c>
      <c r="G229" s="47">
        <f t="shared" si="128"/>
        <v>-1148.6856676492798</v>
      </c>
      <c r="H229" s="47">
        <f t="shared" si="129"/>
        <v>-1378.4228011791358</v>
      </c>
      <c r="I229" s="46">
        <f t="shared" si="130"/>
        <v>-5169.0855044217587</v>
      </c>
      <c r="J229" s="47">
        <f t="shared" si="132"/>
        <v>-6580</v>
      </c>
      <c r="K229" s="47">
        <f t="shared" si="133"/>
        <v>-9651.0544470407785</v>
      </c>
      <c r="L229" s="47">
        <f t="shared" si="134"/>
        <v>-4438.3857823361468</v>
      </c>
      <c r="M229" s="47">
        <f t="shared" si="135"/>
        <v>34048.38573388529</v>
      </c>
      <c r="N229" s="47">
        <f t="shared" si="136"/>
        <v>19212.328765110571</v>
      </c>
      <c r="O229" s="34"/>
      <c r="P229" s="36">
        <f t="shared" si="112"/>
        <v>0</v>
      </c>
      <c r="Q229" s="35"/>
      <c r="R229" s="33"/>
      <c r="S229" s="43"/>
      <c r="T229" s="19"/>
      <c r="U229" s="27">
        <f t="shared" si="137"/>
        <v>34048.38573388529</v>
      </c>
      <c r="V229" s="28">
        <f t="shared" si="137"/>
        <v>19212.328765110571</v>
      </c>
    </row>
    <row r="230" spans="1:22" hidden="1" outlineLevel="1" x14ac:dyDescent="0.25">
      <c r="A230" s="18"/>
      <c r="B230" s="38">
        <f t="shared" si="138"/>
        <v>9</v>
      </c>
      <c r="C230" s="54">
        <f t="shared" si="131"/>
        <v>147.0239879788486</v>
      </c>
      <c r="D230" s="33">
        <f>C230*VLOOKUP($A$222,Ταρίφες!$A$6:$G$23,$K$6,FALSE)*(1+$F$3)^(B230-1)</f>
        <v>52928.635672385491</v>
      </c>
      <c r="E230" s="33">
        <f>C230*VLOOKUP($A$222,Ταρίφες!$A$6:$G$23,$K$7,FALSE)*(1+$F$3)^(B230-1)</f>
        <v>33080.397295240931</v>
      </c>
      <c r="F230" s="46">
        <f t="shared" si="127"/>
        <v>-2108.9868858040782</v>
      </c>
      <c r="G230" s="47">
        <f t="shared" si="128"/>
        <v>-1171.6593810022655</v>
      </c>
      <c r="H230" s="47">
        <f t="shared" si="129"/>
        <v>-1405.9912572027185</v>
      </c>
      <c r="I230" s="46">
        <f t="shared" si="130"/>
        <v>-5272.4672145101949</v>
      </c>
      <c r="J230" s="47">
        <f t="shared" si="132"/>
        <v>-6580</v>
      </c>
      <c r="K230" s="47">
        <f t="shared" si="133"/>
        <v>-9461.278042805221</v>
      </c>
      <c r="L230" s="47">
        <f t="shared" si="134"/>
        <v>-4300.7360647476353</v>
      </c>
      <c r="M230" s="47">
        <f t="shared" si="135"/>
        <v>33508.252891061013</v>
      </c>
      <c r="N230" s="47">
        <f t="shared" si="136"/>
        <v>18820.556491974039</v>
      </c>
      <c r="O230" s="34"/>
      <c r="P230" s="36">
        <f t="shared" si="112"/>
        <v>0</v>
      </c>
      <c r="Q230" s="35"/>
      <c r="R230" s="33"/>
      <c r="S230" s="43"/>
      <c r="T230" s="19"/>
      <c r="U230" s="27">
        <f t="shared" si="137"/>
        <v>33508.252891061013</v>
      </c>
      <c r="V230" s="28">
        <f t="shared" si="137"/>
        <v>18820.556491974039</v>
      </c>
    </row>
    <row r="231" spans="1:22" hidden="1" outlineLevel="1" x14ac:dyDescent="0.25">
      <c r="A231" s="18"/>
      <c r="B231" s="38">
        <f t="shared" si="138"/>
        <v>10</v>
      </c>
      <c r="C231" s="54">
        <f t="shared" si="131"/>
        <v>145.5537480990601</v>
      </c>
      <c r="D231" s="33">
        <f>C231*VLOOKUP($A$222,Ταρίφες!$A$6:$G$23,$K$6,FALSE)*(1+$F$3)^(B231-1)</f>
        <v>52399.349315661639</v>
      </c>
      <c r="E231" s="33">
        <f>C231*VLOOKUP($A$222,Ταρίφες!$A$6:$G$23,$K$7,FALSE)*(1+$F$3)^(B231-1)</f>
        <v>32749.593322288521</v>
      </c>
      <c r="F231" s="46">
        <f t="shared" si="127"/>
        <v>-2151.1666235201596</v>
      </c>
      <c r="G231" s="47">
        <f t="shared" si="128"/>
        <v>-1195.0925686223109</v>
      </c>
      <c r="H231" s="47">
        <f t="shared" si="129"/>
        <v>-1434.1110823467729</v>
      </c>
      <c r="I231" s="46">
        <f t="shared" si="130"/>
        <v>-5377.9165588003989</v>
      </c>
      <c r="J231" s="47">
        <f t="shared" si="132"/>
        <v>-6580</v>
      </c>
      <c r="K231" s="47">
        <f t="shared" si="133"/>
        <v>-9271.8762454167208</v>
      </c>
      <c r="L231" s="47">
        <f t="shared" si="134"/>
        <v>-4162.9396871397084</v>
      </c>
      <c r="M231" s="47">
        <f t="shared" si="135"/>
        <v>32969.186236955276</v>
      </c>
      <c r="N231" s="47">
        <f t="shared" si="136"/>
        <v>18428.366801859171</v>
      </c>
      <c r="O231" s="34"/>
      <c r="P231" s="36">
        <f t="shared" si="112"/>
        <v>0</v>
      </c>
      <c r="Q231" s="35"/>
      <c r="R231" s="33"/>
      <c r="S231" s="43"/>
      <c r="T231" s="19"/>
      <c r="U231" s="27">
        <f t="shared" si="137"/>
        <v>32969.186236955276</v>
      </c>
      <c r="V231" s="28">
        <f t="shared" si="137"/>
        <v>18428.366801859171</v>
      </c>
    </row>
    <row r="232" spans="1:22" hidden="1" outlineLevel="1" x14ac:dyDescent="0.25">
      <c r="A232" s="18"/>
      <c r="B232" s="38">
        <f t="shared" si="138"/>
        <v>11</v>
      </c>
      <c r="C232" s="54">
        <f t="shared" si="131"/>
        <v>144.09821061806949</v>
      </c>
      <c r="D232" s="33">
        <f>C232*VLOOKUP($A$222,Ταρίφες!$A$6:$G$23,$K$6,FALSE)*(1+$F$3)^(B232-1)</f>
        <v>51875.355822505015</v>
      </c>
      <c r="E232" s="33">
        <f>C232*VLOOKUP($A$222,Ταρίφες!$A$6:$G$23,$K$7,FALSE)*(1+$F$3)^(B232-1)</f>
        <v>32422.097389065635</v>
      </c>
      <c r="F232" s="46">
        <f t="shared" si="127"/>
        <v>-2194.1899559905628</v>
      </c>
      <c r="G232" s="47">
        <f t="shared" si="128"/>
        <v>-1218.9944199947572</v>
      </c>
      <c r="H232" s="47">
        <f t="shared" si="129"/>
        <v>-1462.7933039937086</v>
      </c>
      <c r="I232" s="46">
        <f t="shared" si="130"/>
        <v>-5485.4748899764072</v>
      </c>
      <c r="J232" s="47">
        <f t="shared" si="132"/>
        <v>-6580</v>
      </c>
      <c r="K232" s="47">
        <f t="shared" si="133"/>
        <v>-9082.8148456628915</v>
      </c>
      <c r="L232" s="47">
        <f t="shared" si="134"/>
        <v>-4024.9676529686517</v>
      </c>
      <c r="M232" s="47">
        <f t="shared" si="135"/>
        <v>32431.088406886687</v>
      </c>
      <c r="N232" s="47">
        <f t="shared" si="136"/>
        <v>18035.677166141548</v>
      </c>
      <c r="O232" s="34"/>
      <c r="P232" s="36">
        <f t="shared" si="112"/>
        <v>0</v>
      </c>
      <c r="Q232" s="35"/>
      <c r="R232" s="33"/>
      <c r="S232" s="43"/>
      <c r="T232" s="19"/>
      <c r="U232" s="27">
        <f t="shared" si="137"/>
        <v>32431.088406886687</v>
      </c>
      <c r="V232" s="28">
        <f t="shared" si="137"/>
        <v>18035.677166141548</v>
      </c>
    </row>
    <row r="233" spans="1:22" hidden="1" outlineLevel="1" x14ac:dyDescent="0.25">
      <c r="A233" s="18"/>
      <c r="B233" s="38">
        <f t="shared" si="138"/>
        <v>12</v>
      </c>
      <c r="C233" s="54">
        <f t="shared" si="131"/>
        <v>142.6572285118888</v>
      </c>
      <c r="D233" s="33">
        <f>C233*VLOOKUP($A$222,Ταρίφες!$A$6:$G$23,$K$6,FALSE)*(1+$F$3)^(B233-1)</f>
        <v>51356.602264279973</v>
      </c>
      <c r="E233" s="33">
        <f>C233*VLOOKUP($A$222,Ταρίφες!$A$6:$G$23,$K$7,FALSE)*(1+$F$3)^(B233-1)</f>
        <v>32097.876415174982</v>
      </c>
      <c r="F233" s="46">
        <f t="shared" si="127"/>
        <v>-2238.0737551103734</v>
      </c>
      <c r="G233" s="47">
        <f t="shared" si="128"/>
        <v>-1243.374308394652</v>
      </c>
      <c r="H233" s="47">
        <f t="shared" si="129"/>
        <v>-1492.0491700735824</v>
      </c>
      <c r="I233" s="46">
        <f t="shared" si="130"/>
        <v>-5595.1843877759338</v>
      </c>
      <c r="J233" s="47">
        <f t="shared" si="132"/>
        <v>-6580</v>
      </c>
      <c r="K233" s="47">
        <f t="shared" si="133"/>
        <v>-8894.0593671606111</v>
      </c>
      <c r="L233" s="47">
        <f t="shared" si="134"/>
        <v>-3886.7906463933145</v>
      </c>
      <c r="M233" s="47">
        <f t="shared" si="135"/>
        <v>31893.861275764815</v>
      </c>
      <c r="N233" s="47">
        <f t="shared" si="136"/>
        <v>17642.404147427125</v>
      </c>
      <c r="O233" s="34"/>
      <c r="P233" s="36">
        <f t="shared" si="112"/>
        <v>0</v>
      </c>
      <c r="Q233" s="35"/>
      <c r="R233" s="33"/>
      <c r="S233" s="43"/>
      <c r="T233" s="19"/>
      <c r="U233" s="27">
        <f t="shared" si="137"/>
        <v>31893.861275764815</v>
      </c>
      <c r="V233" s="28">
        <f t="shared" si="137"/>
        <v>17642.404147427125</v>
      </c>
    </row>
    <row r="234" spans="1:22" hidden="1" outlineLevel="1" x14ac:dyDescent="0.25">
      <c r="A234" s="18"/>
      <c r="B234" s="38">
        <f t="shared" si="138"/>
        <v>13</v>
      </c>
      <c r="C234" s="54">
        <f t="shared" si="131"/>
        <v>141.23065622676992</v>
      </c>
      <c r="D234" s="33">
        <f>C234*VLOOKUP($A$222,Ταρίφες!$A$6:$G$23,$K$6,FALSE)*(1+$F$3)^(B234-1)</f>
        <v>50843.036241637172</v>
      </c>
      <c r="E234" s="33">
        <f>C234*VLOOKUP($A$222,Ταρίφες!$A$6:$G$23,$K$7,FALSE)*(1+$F$3)^(B234-1)</f>
        <v>31776.897651023231</v>
      </c>
      <c r="F234" s="46">
        <f t="shared" si="127"/>
        <v>-2282.8352302125813</v>
      </c>
      <c r="G234" s="47">
        <f t="shared" si="128"/>
        <v>-1268.2417945625452</v>
      </c>
      <c r="H234" s="47">
        <f t="shared" si="129"/>
        <v>-1521.8901534750544</v>
      </c>
      <c r="I234" s="46">
        <f t="shared" si="130"/>
        <v>-5707.0880755314538</v>
      </c>
      <c r="J234" s="47">
        <f t="shared" si="132"/>
        <v>-6580</v>
      </c>
      <c r="K234" s="47">
        <f t="shared" si="133"/>
        <v>-8705.575056842441</v>
      </c>
      <c r="L234" s="47">
        <f t="shared" si="134"/>
        <v>-3748.3790232828155</v>
      </c>
      <c r="M234" s="47">
        <f t="shared" si="135"/>
        <v>31357.405931013098</v>
      </c>
      <c r="N234" s="47">
        <f t="shared" si="136"/>
        <v>17248.463373958784</v>
      </c>
      <c r="O234" s="34"/>
      <c r="P234" s="36">
        <f t="shared" si="112"/>
        <v>0</v>
      </c>
      <c r="Q234" s="35"/>
      <c r="R234" s="33"/>
      <c r="S234" s="43"/>
      <c r="T234" s="19"/>
      <c r="U234" s="27">
        <f t="shared" si="137"/>
        <v>31357.405931013098</v>
      </c>
      <c r="V234" s="28">
        <f t="shared" si="137"/>
        <v>17248.463373958784</v>
      </c>
    </row>
    <row r="235" spans="1:22" hidden="1" outlineLevel="1" x14ac:dyDescent="0.25">
      <c r="A235" s="18"/>
      <c r="B235" s="38">
        <f t="shared" si="138"/>
        <v>14</v>
      </c>
      <c r="C235" s="54">
        <f t="shared" si="131"/>
        <v>139.81834966450222</v>
      </c>
      <c r="D235" s="33">
        <f>C235*VLOOKUP($A$222,Ταρίφες!$A$6:$G$23,$K$6,FALSE)*(1+$F$3)^(B235-1)</f>
        <v>50334.605879220799</v>
      </c>
      <c r="E235" s="33">
        <f>C235*VLOOKUP($A$222,Ταρίφες!$A$6:$G$23,$K$7,FALSE)*(1+$F$3)^(B235-1)</f>
        <v>31459.128674512998</v>
      </c>
      <c r="F235" s="46">
        <f t="shared" si="127"/>
        <v>-2328.4919348168328</v>
      </c>
      <c r="G235" s="47">
        <f t="shared" si="128"/>
        <v>-1293.606630453796</v>
      </c>
      <c r="H235" s="47">
        <f t="shared" si="129"/>
        <v>-1552.3279565445553</v>
      </c>
      <c r="I235" s="46">
        <f t="shared" si="130"/>
        <v>-5821.2298370420822</v>
      </c>
      <c r="J235" s="47">
        <f t="shared" si="132"/>
        <v>-6580</v>
      </c>
      <c r="K235" s="47">
        <f t="shared" si="133"/>
        <v>-8517.3268752945187</v>
      </c>
      <c r="L235" s="47">
        <f t="shared" si="134"/>
        <v>-3609.7028020704902</v>
      </c>
      <c r="M235" s="47">
        <f t="shared" si="135"/>
        <v>30821.622645069012</v>
      </c>
      <c r="N235" s="47">
        <f t="shared" si="136"/>
        <v>16853.769513585241</v>
      </c>
      <c r="O235" s="34"/>
      <c r="P235" s="36">
        <f t="shared" si="112"/>
        <v>0</v>
      </c>
      <c r="Q235" s="35"/>
      <c r="R235" s="33"/>
      <c r="S235" s="43"/>
      <c r="T235" s="19"/>
      <c r="U235" s="27">
        <f t="shared" si="137"/>
        <v>30821.622645069012</v>
      </c>
      <c r="V235" s="28">
        <f t="shared" si="137"/>
        <v>16853.769513585241</v>
      </c>
    </row>
    <row r="236" spans="1:22" hidden="1" outlineLevel="1" x14ac:dyDescent="0.25">
      <c r="A236" s="18"/>
      <c r="B236" s="38">
        <f t="shared" si="138"/>
        <v>15</v>
      </c>
      <c r="C236" s="54">
        <f t="shared" si="131"/>
        <v>138.42016616785719</v>
      </c>
      <c r="D236" s="33">
        <f>C236*VLOOKUP($A$222,Ταρίφες!$A$6:$G$23,$K$6,FALSE)*(1+$F$3)^(B236-1)</f>
        <v>49831.25982042859</v>
      </c>
      <c r="E236" s="33">
        <f>C236*VLOOKUP($A$222,Ταρίφες!$A$6:$G$23,$K$7,FALSE)*(1+$F$3)^(B236-1)</f>
        <v>31144.537387767868</v>
      </c>
      <c r="F236" s="46">
        <f t="shared" si="127"/>
        <v>-2375.06177351317</v>
      </c>
      <c r="G236" s="47">
        <f t="shared" si="128"/>
        <v>-1319.4787630628721</v>
      </c>
      <c r="H236" s="47">
        <f t="shared" si="129"/>
        <v>-1583.3745156754467</v>
      </c>
      <c r="I236" s="46">
        <f t="shared" si="130"/>
        <v>-5937.6544337829246</v>
      </c>
      <c r="J236" s="47">
        <f t="shared" si="132"/>
        <v>-6580</v>
      </c>
      <c r="K236" s="47">
        <f t="shared" si="133"/>
        <v>-8329.279486942487</v>
      </c>
      <c r="L236" s="47">
        <f t="shared" si="134"/>
        <v>-3470.7316544506989</v>
      </c>
      <c r="M236" s="47">
        <f t="shared" si="135"/>
        <v>30286.410847451694</v>
      </c>
      <c r="N236" s="47">
        <f t="shared" si="136"/>
        <v>16458.236247282759</v>
      </c>
      <c r="O236" s="34"/>
      <c r="P236" s="36">
        <f t="shared" si="112"/>
        <v>0</v>
      </c>
      <c r="Q236" s="35"/>
      <c r="R236" s="33"/>
      <c r="S236" s="43"/>
      <c r="T236" s="19"/>
      <c r="U236" s="27">
        <f t="shared" si="137"/>
        <v>30286.410847451694</v>
      </c>
      <c r="V236" s="28">
        <f t="shared" si="137"/>
        <v>16458.236247282759</v>
      </c>
    </row>
    <row r="237" spans="1:22" hidden="1" outlineLevel="1" x14ac:dyDescent="0.25">
      <c r="A237" s="18"/>
      <c r="B237" s="38">
        <f t="shared" si="138"/>
        <v>16</v>
      </c>
      <c r="C237" s="54">
        <f t="shared" si="131"/>
        <v>137.03596450617863</v>
      </c>
      <c r="D237" s="33">
        <f>C237*VLOOKUP($A$222,Ταρίφες!$A$6:$G$23,$K$6,FALSE)*(1+$F$3)^(B237-1)</f>
        <v>49332.947222224306</v>
      </c>
      <c r="E237" s="33">
        <f>C237*VLOOKUP($A$222,Ταρίφες!$A$6:$G$23,$K$7,FALSE)*(1+$F$3)^(B237-1)</f>
        <v>30833.092013890193</v>
      </c>
      <c r="F237" s="46">
        <f t="shared" si="127"/>
        <v>-2422.5630089834326</v>
      </c>
      <c r="G237" s="47">
        <f t="shared" si="128"/>
        <v>-1345.8683383241291</v>
      </c>
      <c r="H237" s="47">
        <f t="shared" si="129"/>
        <v>-1615.042005988955</v>
      </c>
      <c r="I237" s="46">
        <f t="shared" si="130"/>
        <v>-6056.4075224585813</v>
      </c>
      <c r="J237" s="47">
        <f t="shared" si="132"/>
        <v>-6580</v>
      </c>
      <c r="K237" s="47">
        <f t="shared" si="133"/>
        <v>-8141.3972500819946</v>
      </c>
      <c r="L237" s="47">
        <f t="shared" si="134"/>
        <v>-3331.4348959151248</v>
      </c>
      <c r="M237" s="47">
        <f t="shared" si="135"/>
        <v>29751.66909638721</v>
      </c>
      <c r="N237" s="47">
        <f t="shared" si="136"/>
        <v>16061.77624221997</v>
      </c>
      <c r="O237" s="34"/>
      <c r="P237" s="36">
        <f t="shared" si="112"/>
        <v>0</v>
      </c>
      <c r="Q237" s="35"/>
      <c r="R237" s="33"/>
      <c r="S237" s="43"/>
      <c r="T237" s="19"/>
      <c r="U237" s="27">
        <f t="shared" si="137"/>
        <v>29751.66909638721</v>
      </c>
      <c r="V237" s="28">
        <f t="shared" si="137"/>
        <v>16061.77624221997</v>
      </c>
    </row>
    <row r="238" spans="1:22" hidden="1" outlineLevel="1" x14ac:dyDescent="0.25">
      <c r="A238" s="18"/>
      <c r="B238" s="38">
        <f t="shared" si="138"/>
        <v>17</v>
      </c>
      <c r="C238" s="54">
        <f t="shared" si="131"/>
        <v>135.66560486111683</v>
      </c>
      <c r="D238" s="33">
        <f>C238*VLOOKUP($A$222,Ταρίφες!$A$6:$G$23,$K$6,FALSE)*(1+$F$3)^(B238-1)</f>
        <v>48839.617750002057</v>
      </c>
      <c r="E238" s="33">
        <f>C238*VLOOKUP($A$222,Ταρίφες!$A$6:$G$23,$K$7,FALSE)*(1+$F$3)^(B238-1)</f>
        <v>30524.761093751287</v>
      </c>
      <c r="F238" s="46">
        <f t="shared" si="127"/>
        <v>-2471.0142691631017</v>
      </c>
      <c r="G238" s="47">
        <f t="shared" si="128"/>
        <v>-1372.7857050906121</v>
      </c>
      <c r="H238" s="47">
        <f t="shared" si="129"/>
        <v>-1647.3428461087344</v>
      </c>
      <c r="I238" s="46">
        <f t="shared" si="130"/>
        <v>-6177.5356729077539</v>
      </c>
      <c r="J238" s="47">
        <f t="shared" si="132"/>
        <v>-6580</v>
      </c>
      <c r="K238" s="47">
        <f t="shared" si="133"/>
        <v>-7953.6442067502821</v>
      </c>
      <c r="L238" s="47">
        <f t="shared" si="134"/>
        <v>-3191.781476125082</v>
      </c>
      <c r="M238" s="47">
        <f t="shared" si="135"/>
        <v>29217.295049981574</v>
      </c>
      <c r="N238" s="47">
        <f t="shared" si="136"/>
        <v>15664.301124356003</v>
      </c>
      <c r="O238" s="34"/>
      <c r="P238" s="36">
        <f t="shared" si="112"/>
        <v>0</v>
      </c>
      <c r="Q238" s="35"/>
      <c r="R238" s="33"/>
      <c r="S238" s="43"/>
      <c r="T238" s="19"/>
      <c r="U238" s="27">
        <f t="shared" si="137"/>
        <v>29217.295049981574</v>
      </c>
      <c r="V238" s="28">
        <f t="shared" si="137"/>
        <v>15664.301124356003</v>
      </c>
    </row>
    <row r="239" spans="1:22" hidden="1" outlineLevel="1" x14ac:dyDescent="0.25">
      <c r="A239" s="18"/>
      <c r="B239" s="38">
        <f t="shared" si="138"/>
        <v>18</v>
      </c>
      <c r="C239" s="54">
        <f t="shared" si="131"/>
        <v>134.30894881250566</v>
      </c>
      <c r="D239" s="33">
        <f>C239*VLOOKUP($A$222,Ταρίφες!$A$6:$G$23,$K$6,FALSE)*(1+$F$3)^(B239-1)</f>
        <v>48351.221572502036</v>
      </c>
      <c r="E239" s="33">
        <f>C239*VLOOKUP($A$222,Ταρίφες!$A$6:$G$23,$K$7,FALSE)*(1+$F$3)^(B239-1)</f>
        <v>30219.513482813774</v>
      </c>
      <c r="F239" s="46">
        <f t="shared" si="127"/>
        <v>-2520.4345545463639</v>
      </c>
      <c r="G239" s="47">
        <f t="shared" si="128"/>
        <v>-1400.2414191924245</v>
      </c>
      <c r="H239" s="47">
        <f t="shared" si="129"/>
        <v>-1680.2897030309093</v>
      </c>
      <c r="I239" s="46">
        <f t="shared" si="130"/>
        <v>-6301.0863863659097</v>
      </c>
      <c r="J239" s="47">
        <f t="shared" si="132"/>
        <v>-6580</v>
      </c>
      <c r="K239" s="47">
        <f t="shared" si="133"/>
        <v>-7765.9840724352716</v>
      </c>
      <c r="L239" s="47">
        <f t="shared" si="134"/>
        <v>-3051.7399691163232</v>
      </c>
      <c r="M239" s="47">
        <f t="shared" si="135"/>
        <v>28683.185436931159</v>
      </c>
      <c r="N239" s="47">
        <f t="shared" si="136"/>
        <v>15265.721450561843</v>
      </c>
      <c r="O239" s="34"/>
      <c r="P239" s="36">
        <f t="shared" si="112"/>
        <v>0</v>
      </c>
      <c r="Q239" s="35"/>
      <c r="R239" s="33"/>
      <c r="S239" s="43"/>
      <c r="T239" s="19"/>
      <c r="U239" s="27">
        <f t="shared" si="137"/>
        <v>28683.185436931159</v>
      </c>
      <c r="V239" s="28">
        <f t="shared" si="137"/>
        <v>15265.721450561843</v>
      </c>
    </row>
    <row r="240" spans="1:22" hidden="1" outlineLevel="1" x14ac:dyDescent="0.25">
      <c r="A240" s="18"/>
      <c r="B240" s="38">
        <f t="shared" si="138"/>
        <v>19</v>
      </c>
      <c r="C240" s="54">
        <f t="shared" si="131"/>
        <v>132.9658593243806</v>
      </c>
      <c r="D240" s="33">
        <f>C240*VLOOKUP($A$222,Ταρίφες!$A$6:$G$23,$K$6,FALSE)*(1+$F$3)^(B240-1)</f>
        <v>47867.709356777013</v>
      </c>
      <c r="E240" s="33">
        <f>C240*VLOOKUP($A$222,Ταρίφες!$A$6:$G$23,$K$7,FALSE)*(1+$F$3)^(B240-1)</f>
        <v>29917.318347985634</v>
      </c>
      <c r="F240" s="46">
        <f t="shared" si="127"/>
        <v>-2570.8432456372907</v>
      </c>
      <c r="G240" s="47">
        <f t="shared" si="128"/>
        <v>-1428.2462475762727</v>
      </c>
      <c r="H240" s="47">
        <f t="shared" si="129"/>
        <v>-1713.8954970915272</v>
      </c>
      <c r="I240" s="46">
        <f t="shared" si="130"/>
        <v>-6427.1081140932274</v>
      </c>
      <c r="J240" s="47">
        <f t="shared" si="132"/>
        <v>-6580</v>
      </c>
      <c r="K240" s="47">
        <f t="shared" si="133"/>
        <v>-7578.3802256184608</v>
      </c>
      <c r="L240" s="47">
        <f t="shared" si="134"/>
        <v>-2911.2785633327021</v>
      </c>
      <c r="M240" s="47">
        <f t="shared" si="135"/>
        <v>28149.236026760231</v>
      </c>
      <c r="N240" s="47">
        <f t="shared" si="136"/>
        <v>14865.946680254614</v>
      </c>
      <c r="O240" s="34"/>
      <c r="P240" s="36">
        <f t="shared" si="112"/>
        <v>0</v>
      </c>
      <c r="Q240" s="35"/>
      <c r="R240" s="33"/>
      <c r="S240" s="43"/>
      <c r="T240" s="19"/>
      <c r="U240" s="27">
        <f t="shared" si="137"/>
        <v>28149.236026760231</v>
      </c>
      <c r="V240" s="28">
        <f t="shared" si="137"/>
        <v>14865.946680254614</v>
      </c>
    </row>
    <row r="241" spans="1:22" hidden="1" outlineLevel="1" x14ac:dyDescent="0.25">
      <c r="A241" s="18"/>
      <c r="B241" s="38">
        <f>B240+1</f>
        <v>20</v>
      </c>
      <c r="C241" s="54">
        <f>C240*(1-$F$2)</f>
        <v>131.6362007311368</v>
      </c>
      <c r="D241" s="33">
        <f>C241*VLOOKUP($A$222,Ταρίφες!$A$6:$G$23,$K$6,FALSE)*(1+$F$3)^(B241-1)</f>
        <v>47389.032263209243</v>
      </c>
      <c r="E241" s="33">
        <f>C241*VLOOKUP($A$222,Ταρίφες!$A$6:$G$23,$K$7,FALSE)*(1+$F$3)^(B241-1)</f>
        <v>29618.145164505779</v>
      </c>
      <c r="F241" s="46">
        <f t="shared" si="127"/>
        <v>-2622.2601105500366</v>
      </c>
      <c r="G241" s="47">
        <f t="shared" si="128"/>
        <v>-1456.8111725277981</v>
      </c>
      <c r="H241" s="47">
        <f>-$K$4*(1+$F$4)^(B241-$B$12)</f>
        <v>-1748.1734070333578</v>
      </c>
      <c r="I241" s="46">
        <f>-(4500*(1+$F$4)^(B241-$B$12))</f>
        <v>-6555.6502763750914</v>
      </c>
      <c r="J241" s="47">
        <f t="shared" si="132"/>
        <v>-6580</v>
      </c>
      <c r="K241" s="47">
        <f>-(D241+SUM(F241:J241))*$F$5</f>
        <v>-7390.7956971479698</v>
      </c>
      <c r="L241" s="47">
        <f>-(E241+SUM(F241:J241))*$F$5</f>
        <v>-2770.3650514850683</v>
      </c>
      <c r="M241" s="47">
        <f>D241+SUM(F241:I241)+K241</f>
        <v>27615.341599574986</v>
      </c>
      <c r="N241" s="47">
        <f>E241+SUM(F241:I241)+L241</f>
        <v>14464.885146534425</v>
      </c>
      <c r="O241" s="34"/>
      <c r="P241" s="36">
        <f t="shared" si="112"/>
        <v>0</v>
      </c>
      <c r="Q241" s="35"/>
      <c r="R241" s="33"/>
      <c r="S241" s="43"/>
      <c r="T241" s="19"/>
      <c r="U241" s="27">
        <f>M241</f>
        <v>27615.341599574986</v>
      </c>
      <c r="V241" s="28">
        <f>N241</f>
        <v>14464.885146534425</v>
      </c>
    </row>
    <row r="242" spans="1:22" s="40" customFormat="1" hidden="1" outlineLevel="1" x14ac:dyDescent="0.25">
      <c r="O242" s="17"/>
      <c r="P242" s="36">
        <f t="shared" si="112"/>
        <v>0</v>
      </c>
      <c r="Q242" s="25"/>
      <c r="R242" s="22"/>
      <c r="S242" s="52"/>
      <c r="T242" s="44"/>
      <c r="U242" s="74">
        <f>O243</f>
        <v>-149500</v>
      </c>
      <c r="V242" s="74">
        <f>R243</f>
        <v>-109760.6131706138</v>
      </c>
    </row>
    <row r="243" spans="1:22" collapsed="1" x14ac:dyDescent="0.25">
      <c r="A243" s="32" t="str">
        <f>Ταρίφες!A21</f>
        <v>Δ Τριμ. 2012</v>
      </c>
      <c r="B243" s="38">
        <f>1</f>
        <v>1</v>
      </c>
      <c r="C243" s="54">
        <f>$F$8*$K$2/1000</f>
        <v>159.33333333333331</v>
      </c>
      <c r="D243" s="33">
        <f>C243*VLOOKUP($A$243,Ταρίφες!$A$6:$G$23,$K$6,FALSE)*(1+$F$3)^(B243-1)</f>
        <v>54173.333333333328</v>
      </c>
      <c r="E243" s="33">
        <f>C243*VLOOKUP($A$243,Ταρίφες!$A$6:$G$23,$K$7,FALSE)*(1+$F$3)^(B243-1)</f>
        <v>34256.666666666664</v>
      </c>
      <c r="F243" s="46">
        <f t="shared" ref="F243:F262" si="139">-($K$5*(1+$F$4)^(B243-$B$12))</f>
        <v>-1800</v>
      </c>
      <c r="G243" s="47">
        <f t="shared" ref="G243:G262" si="140">-$K$2*10*(1+$F$4)^(B243-$B$12)</f>
        <v>-1000</v>
      </c>
      <c r="H243" s="47">
        <f t="shared" ref="H243:H261" si="141">-$K$4*(1+$F$4)^(B243-$B$12)</f>
        <v>-1200</v>
      </c>
      <c r="I243" s="46">
        <f t="shared" ref="I243:I261" si="142">-(4500*(1+$F$4)^(B243-$B$12))</f>
        <v>-4500</v>
      </c>
      <c r="J243" s="47">
        <f>$O$243*4%</f>
        <v>-5980</v>
      </c>
      <c r="K243" s="47">
        <f>-(D243+SUM(F243:J243))*$F$5</f>
        <v>-10320.266666666666</v>
      </c>
      <c r="L243" s="47">
        <f>-(E243+SUM(F243:J243))*$F$5</f>
        <v>-5141.9333333333325</v>
      </c>
      <c r="M243" s="47">
        <f>D243+SUM(F243:I243)+K243</f>
        <v>35353.066666666666</v>
      </c>
      <c r="N243" s="47">
        <f>E243+SUM(F243:I243)+L243</f>
        <v>20614.73333333333</v>
      </c>
      <c r="O243" s="35">
        <f>-VLOOKUP(A243,'Κόστος Κατασκευής'!$A$4:$Q$17,$K$8,FALSE)</f>
        <v>-149500</v>
      </c>
      <c r="P243" s="36">
        <f t="shared" si="112"/>
        <v>59800</v>
      </c>
      <c r="Q243" s="36">
        <f>Q222*15/16</f>
        <v>-20060.613170613804</v>
      </c>
      <c r="R243" s="37">
        <f>SUM(O243:Q243)</f>
        <v>-109760.6131706138</v>
      </c>
      <c r="S243" s="42">
        <f>IRR(U242:U262)</f>
        <v>0.21842175994894975</v>
      </c>
      <c r="T243" s="42">
        <f>IRR(V242:V262)</f>
        <v>0.16295368612649752</v>
      </c>
      <c r="U243" s="27">
        <f>M243</f>
        <v>35353.066666666666</v>
      </c>
      <c r="V243" s="28">
        <f>N243</f>
        <v>20614.73333333333</v>
      </c>
    </row>
    <row r="244" spans="1:22" hidden="1" outlineLevel="1" x14ac:dyDescent="0.25">
      <c r="A244" s="18"/>
      <c r="B244" s="38">
        <f>B243+1</f>
        <v>2</v>
      </c>
      <c r="C244" s="54">
        <f t="shared" ref="C244:C261" si="143">C243*(1-$F$2)</f>
        <v>157.73999999999998</v>
      </c>
      <c r="D244" s="33">
        <f>C244*VLOOKUP($A$243,Ταρίφες!$A$6:$G$23,$K$6,FALSE)*(1+$F$3)^(B244-1)</f>
        <v>53631.599999999991</v>
      </c>
      <c r="E244" s="33">
        <f>C244*VLOOKUP($A$243,Ταρίφες!$A$6:$G$23,$K$7,FALSE)*(1+$F$3)^(B244-1)</f>
        <v>33914.1</v>
      </c>
      <c r="F244" s="46">
        <f t="shared" si="139"/>
        <v>-1836</v>
      </c>
      <c r="G244" s="47">
        <f t="shared" si="140"/>
        <v>-1020</v>
      </c>
      <c r="H244" s="47">
        <f t="shared" si="141"/>
        <v>-1224</v>
      </c>
      <c r="I244" s="46">
        <f t="shared" si="142"/>
        <v>-4590</v>
      </c>
      <c r="J244" s="47">
        <f t="shared" ref="J244:J262" si="144">$O$222*4%</f>
        <v>-6580</v>
      </c>
      <c r="K244" s="47">
        <f t="shared" ref="K244:K261" si="145">-(D244+SUM(F244:J244))*$F$5</f>
        <v>-9979.2159999999985</v>
      </c>
      <c r="L244" s="47">
        <f t="shared" ref="L244:L261" si="146">-(E244+SUM(F244:J244))*$F$5</f>
        <v>-4852.6660000000002</v>
      </c>
      <c r="M244" s="47">
        <f t="shared" ref="M244:M261" si="147">D244+SUM(F244:I244)+K244</f>
        <v>34982.383999999991</v>
      </c>
      <c r="N244" s="47">
        <f t="shared" ref="N244:N261" si="148">E244+SUM(F244:I244)+L244</f>
        <v>20391.433999999997</v>
      </c>
      <c r="O244" s="34"/>
      <c r="P244" s="36">
        <f t="shared" si="112"/>
        <v>0</v>
      </c>
      <c r="Q244" s="35"/>
      <c r="R244" s="33"/>
      <c r="S244" s="43"/>
      <c r="T244" s="19"/>
      <c r="U244" s="27">
        <f t="shared" ref="U244:V261" si="149">M244</f>
        <v>34982.383999999991</v>
      </c>
      <c r="V244" s="28">
        <f t="shared" si="149"/>
        <v>20391.433999999997</v>
      </c>
    </row>
    <row r="245" spans="1:22" hidden="1" outlineLevel="1" x14ac:dyDescent="0.25">
      <c r="A245" s="18"/>
      <c r="B245" s="38">
        <f t="shared" ref="B245:B261" si="150">B244+1</f>
        <v>3</v>
      </c>
      <c r="C245" s="54">
        <f t="shared" si="143"/>
        <v>156.16259999999997</v>
      </c>
      <c r="D245" s="33">
        <f>C245*VLOOKUP($A$243,Ταρίφες!$A$6:$G$23,$K$6,FALSE)*(1+$F$3)^(B245-1)</f>
        <v>53095.283999999992</v>
      </c>
      <c r="E245" s="33">
        <f>C245*VLOOKUP($A$243,Ταρίφες!$A$6:$G$23,$K$7,FALSE)*(1+$F$3)^(B245-1)</f>
        <v>33574.958999999995</v>
      </c>
      <c r="F245" s="46">
        <f t="shared" si="139"/>
        <v>-1872.72</v>
      </c>
      <c r="G245" s="47">
        <f t="shared" si="140"/>
        <v>-1040.4000000000001</v>
      </c>
      <c r="H245" s="47">
        <f t="shared" si="141"/>
        <v>-1248.48</v>
      </c>
      <c r="I245" s="46">
        <f t="shared" si="142"/>
        <v>-4681.8</v>
      </c>
      <c r="J245" s="47">
        <f t="shared" si="144"/>
        <v>-6580</v>
      </c>
      <c r="K245" s="47">
        <f t="shared" si="145"/>
        <v>-9794.6898399999973</v>
      </c>
      <c r="L245" s="47">
        <f t="shared" si="146"/>
        <v>-4719.4053399999984</v>
      </c>
      <c r="M245" s="47">
        <f t="shared" si="147"/>
        <v>34457.194159999992</v>
      </c>
      <c r="N245" s="47">
        <f t="shared" si="148"/>
        <v>20012.153659999996</v>
      </c>
      <c r="O245" s="34"/>
      <c r="P245" s="36">
        <f t="shared" ref="P245:P285" si="151">-0.4*O245</f>
        <v>0</v>
      </c>
      <c r="Q245" s="35"/>
      <c r="R245" s="33"/>
      <c r="S245" s="43"/>
      <c r="T245" s="19"/>
      <c r="U245" s="27">
        <f t="shared" si="149"/>
        <v>34457.194159999992</v>
      </c>
      <c r="V245" s="28">
        <f t="shared" si="149"/>
        <v>20012.153659999996</v>
      </c>
    </row>
    <row r="246" spans="1:22" hidden="1" outlineLevel="1" x14ac:dyDescent="0.25">
      <c r="A246" s="18"/>
      <c r="B246" s="38">
        <f t="shared" si="150"/>
        <v>4</v>
      </c>
      <c r="C246" s="54">
        <f t="shared" si="143"/>
        <v>154.60097399999998</v>
      </c>
      <c r="D246" s="33">
        <f>C246*VLOOKUP($A$243,Ταρίφες!$A$6:$G$23,$K$6,FALSE)*(1+$F$3)^(B246-1)</f>
        <v>52564.331159999994</v>
      </c>
      <c r="E246" s="33">
        <f>C246*VLOOKUP($A$243,Ταρίφες!$A$6:$G$23,$K$7,FALSE)*(1+$F$3)^(B246-1)</f>
        <v>33239.209409999996</v>
      </c>
      <c r="F246" s="46">
        <f t="shared" si="139"/>
        <v>-1910.1743999999999</v>
      </c>
      <c r="G246" s="47">
        <f t="shared" si="140"/>
        <v>-1061.2079999999999</v>
      </c>
      <c r="H246" s="47">
        <f t="shared" si="141"/>
        <v>-1273.4495999999999</v>
      </c>
      <c r="I246" s="46">
        <f t="shared" si="142"/>
        <v>-4775.4359999999997</v>
      </c>
      <c r="J246" s="47">
        <f t="shared" si="144"/>
        <v>-6580</v>
      </c>
      <c r="K246" s="47">
        <f t="shared" si="145"/>
        <v>-9610.6564215999988</v>
      </c>
      <c r="L246" s="47">
        <f t="shared" si="146"/>
        <v>-4586.124766599999</v>
      </c>
      <c r="M246" s="47">
        <f t="shared" si="147"/>
        <v>33933.406738399994</v>
      </c>
      <c r="N246" s="47">
        <f t="shared" si="148"/>
        <v>19632.816643399998</v>
      </c>
      <c r="O246" s="34"/>
      <c r="P246" s="36">
        <f t="shared" si="151"/>
        <v>0</v>
      </c>
      <c r="Q246" s="35"/>
      <c r="R246" s="33"/>
      <c r="S246" s="43"/>
      <c r="T246" s="19"/>
      <c r="U246" s="27">
        <f t="shared" si="149"/>
        <v>33933.406738399994</v>
      </c>
      <c r="V246" s="28">
        <f t="shared" si="149"/>
        <v>19632.816643399998</v>
      </c>
    </row>
    <row r="247" spans="1:22" hidden="1" outlineLevel="1" x14ac:dyDescent="0.25">
      <c r="A247" s="18"/>
      <c r="B247" s="38">
        <f t="shared" si="150"/>
        <v>5</v>
      </c>
      <c r="C247" s="54">
        <f t="shared" si="143"/>
        <v>153.05496425999999</v>
      </c>
      <c r="D247" s="33">
        <f>C247*VLOOKUP($A$243,Ταρίφες!$A$6:$G$23,$K$6,FALSE)*(1+$F$3)^(B247-1)</f>
        <v>52038.687848399997</v>
      </c>
      <c r="E247" s="33">
        <f>C247*VLOOKUP($A$243,Ταρίφες!$A$6:$G$23,$K$7,FALSE)*(1+$F$3)^(B247-1)</f>
        <v>32906.8173159</v>
      </c>
      <c r="F247" s="46">
        <f t="shared" si="139"/>
        <v>-1948.377888</v>
      </c>
      <c r="G247" s="47">
        <f t="shared" si="140"/>
        <v>-1082.4321600000001</v>
      </c>
      <c r="H247" s="47">
        <f t="shared" si="141"/>
        <v>-1298.918592</v>
      </c>
      <c r="I247" s="46">
        <f t="shared" si="142"/>
        <v>-4870.9447199999995</v>
      </c>
      <c r="J247" s="47">
        <f t="shared" si="144"/>
        <v>-6580</v>
      </c>
      <c r="K247" s="47">
        <f t="shared" si="145"/>
        <v>-9427.0837669840002</v>
      </c>
      <c r="L247" s="47">
        <f t="shared" si="146"/>
        <v>-4452.7974285339997</v>
      </c>
      <c r="M247" s="47">
        <f t="shared" si="147"/>
        <v>33410.930721415993</v>
      </c>
      <c r="N247" s="47">
        <f t="shared" si="148"/>
        <v>19253.346527366</v>
      </c>
      <c r="O247" s="34"/>
      <c r="P247" s="36">
        <f t="shared" si="151"/>
        <v>0</v>
      </c>
      <c r="Q247" s="35"/>
      <c r="R247" s="33"/>
      <c r="S247" s="43"/>
      <c r="T247" s="19"/>
      <c r="U247" s="27">
        <f t="shared" si="149"/>
        <v>33410.930721415993</v>
      </c>
      <c r="V247" s="28">
        <f t="shared" si="149"/>
        <v>19253.346527366</v>
      </c>
    </row>
    <row r="248" spans="1:22" hidden="1" outlineLevel="1" x14ac:dyDescent="0.25">
      <c r="A248" s="18"/>
      <c r="B248" s="38">
        <f t="shared" si="150"/>
        <v>6</v>
      </c>
      <c r="C248" s="54">
        <f t="shared" si="143"/>
        <v>151.5244146174</v>
      </c>
      <c r="D248" s="33">
        <f>C248*VLOOKUP($A$243,Ταρίφες!$A$6:$G$23,$K$6,FALSE)*(1+$F$3)^(B248-1)</f>
        <v>51518.300969916003</v>
      </c>
      <c r="E248" s="33">
        <f>C248*VLOOKUP($A$243,Ταρίφες!$A$6:$G$23,$K$7,FALSE)*(1+$F$3)^(B248-1)</f>
        <v>32577.749142740999</v>
      </c>
      <c r="F248" s="46">
        <f t="shared" si="139"/>
        <v>-1987.3454457600001</v>
      </c>
      <c r="G248" s="47">
        <f t="shared" si="140"/>
        <v>-1104.0808032</v>
      </c>
      <c r="H248" s="47">
        <f t="shared" si="141"/>
        <v>-1324.8969638400001</v>
      </c>
      <c r="I248" s="46">
        <f t="shared" si="142"/>
        <v>-4968.3636144000002</v>
      </c>
      <c r="J248" s="47">
        <f t="shared" si="144"/>
        <v>-6580</v>
      </c>
      <c r="K248" s="47">
        <f t="shared" si="145"/>
        <v>-9243.939677106162</v>
      </c>
      <c r="L248" s="47">
        <f t="shared" si="146"/>
        <v>-4319.3962020406598</v>
      </c>
      <c r="M248" s="47">
        <f t="shared" si="147"/>
        <v>32889.674465609845</v>
      </c>
      <c r="N248" s="47">
        <f t="shared" si="148"/>
        <v>18873.666113500338</v>
      </c>
      <c r="O248" s="34"/>
      <c r="P248" s="36">
        <f t="shared" si="151"/>
        <v>0</v>
      </c>
      <c r="Q248" s="35"/>
      <c r="R248" s="33"/>
      <c r="S248" s="43"/>
      <c r="T248" s="19"/>
      <c r="U248" s="27">
        <f t="shared" si="149"/>
        <v>32889.674465609845</v>
      </c>
      <c r="V248" s="28">
        <f t="shared" si="149"/>
        <v>18873.666113500338</v>
      </c>
    </row>
    <row r="249" spans="1:22" hidden="1" outlineLevel="1" x14ac:dyDescent="0.25">
      <c r="A249" s="18"/>
      <c r="B249" s="38">
        <f t="shared" si="150"/>
        <v>7</v>
      </c>
      <c r="C249" s="54">
        <f t="shared" si="143"/>
        <v>150.00917047122599</v>
      </c>
      <c r="D249" s="33">
        <f>C249*VLOOKUP($A$243,Ταρίφες!$A$6:$G$23,$K$6,FALSE)*(1+$F$3)^(B249-1)</f>
        <v>51003.117960216834</v>
      </c>
      <c r="E249" s="33">
        <f>C249*VLOOKUP($A$243,Ταρίφες!$A$6:$G$23,$K$7,FALSE)*(1+$F$3)^(B249-1)</f>
        <v>32251.971651313586</v>
      </c>
      <c r="F249" s="46">
        <f t="shared" si="139"/>
        <v>-2027.0923546752001</v>
      </c>
      <c r="G249" s="47">
        <f t="shared" si="140"/>
        <v>-1126.1624192640002</v>
      </c>
      <c r="H249" s="47">
        <f t="shared" si="141"/>
        <v>-1351.3949031168002</v>
      </c>
      <c r="I249" s="46">
        <f t="shared" si="142"/>
        <v>-5067.7308866880003</v>
      </c>
      <c r="J249" s="47">
        <f t="shared" si="144"/>
        <v>-6580</v>
      </c>
      <c r="K249" s="47">
        <f t="shared" si="145"/>
        <v>-9061.1917230829367</v>
      </c>
      <c r="L249" s="47">
        <f t="shared" si="146"/>
        <v>-4185.8936827680918</v>
      </c>
      <c r="M249" s="47">
        <f t="shared" si="147"/>
        <v>32369.545673389897</v>
      </c>
      <c r="N249" s="47">
        <f t="shared" si="148"/>
        <v>18493.697404801493</v>
      </c>
      <c r="O249" s="34"/>
      <c r="P249" s="36">
        <f t="shared" si="151"/>
        <v>0</v>
      </c>
      <c r="Q249" s="35"/>
      <c r="R249" s="33"/>
      <c r="S249" s="43"/>
      <c r="T249" s="19"/>
      <c r="U249" s="27">
        <f t="shared" si="149"/>
        <v>32369.545673389897</v>
      </c>
      <c r="V249" s="28">
        <f t="shared" si="149"/>
        <v>18493.697404801493</v>
      </c>
    </row>
    <row r="250" spans="1:22" hidden="1" outlineLevel="1" x14ac:dyDescent="0.25">
      <c r="A250" s="18"/>
      <c r="B250" s="38">
        <f t="shared" si="150"/>
        <v>8</v>
      </c>
      <c r="C250" s="54">
        <f t="shared" si="143"/>
        <v>148.50907876651374</v>
      </c>
      <c r="D250" s="33">
        <f>C250*VLOOKUP($A$243,Ταρίφες!$A$6:$G$23,$K$6,FALSE)*(1+$F$3)^(B250-1)</f>
        <v>50493.086780614671</v>
      </c>
      <c r="E250" s="33">
        <f>C250*VLOOKUP($A$243,Ταρίφες!$A$6:$G$23,$K$7,FALSE)*(1+$F$3)^(B250-1)</f>
        <v>31929.451934800454</v>
      </c>
      <c r="F250" s="46">
        <f t="shared" si="139"/>
        <v>-2067.6342017687039</v>
      </c>
      <c r="G250" s="47">
        <f t="shared" si="140"/>
        <v>-1148.6856676492798</v>
      </c>
      <c r="H250" s="47">
        <f t="shared" si="141"/>
        <v>-1378.4228011791358</v>
      </c>
      <c r="I250" s="46">
        <f t="shared" si="142"/>
        <v>-5169.0855044217587</v>
      </c>
      <c r="J250" s="47">
        <f t="shared" si="144"/>
        <v>-6580</v>
      </c>
      <c r="K250" s="47">
        <f t="shared" si="145"/>
        <v>-8878.8072374549065</v>
      </c>
      <c r="L250" s="47">
        <f t="shared" si="146"/>
        <v>-4052.2621775432099</v>
      </c>
      <c r="M250" s="47">
        <f t="shared" si="147"/>
        <v>31850.451368140886</v>
      </c>
      <c r="N250" s="47">
        <f t="shared" si="148"/>
        <v>18113.361582238369</v>
      </c>
      <c r="O250" s="34"/>
      <c r="P250" s="36">
        <f t="shared" si="151"/>
        <v>0</v>
      </c>
      <c r="Q250" s="35"/>
      <c r="R250" s="33"/>
      <c r="S250" s="43"/>
      <c r="T250" s="19"/>
      <c r="U250" s="27">
        <f t="shared" si="149"/>
        <v>31850.451368140886</v>
      </c>
      <c r="V250" s="28">
        <f t="shared" si="149"/>
        <v>18113.361582238369</v>
      </c>
    </row>
    <row r="251" spans="1:22" hidden="1" outlineLevel="1" x14ac:dyDescent="0.25">
      <c r="A251" s="18"/>
      <c r="B251" s="38">
        <f t="shared" si="150"/>
        <v>9</v>
      </c>
      <c r="C251" s="54">
        <f t="shared" si="143"/>
        <v>147.0239879788486</v>
      </c>
      <c r="D251" s="33">
        <f>C251*VLOOKUP($A$243,Ταρίφες!$A$6:$G$23,$K$6,FALSE)*(1+$F$3)^(B251-1)</f>
        <v>49988.155912808521</v>
      </c>
      <c r="E251" s="33">
        <f>C251*VLOOKUP($A$243,Ταρίφες!$A$6:$G$23,$K$7,FALSE)*(1+$F$3)^(B251-1)</f>
        <v>31610.15741545245</v>
      </c>
      <c r="F251" s="46">
        <f t="shared" si="139"/>
        <v>-2108.9868858040782</v>
      </c>
      <c r="G251" s="47">
        <f t="shared" si="140"/>
        <v>-1171.6593810022655</v>
      </c>
      <c r="H251" s="47">
        <f t="shared" si="141"/>
        <v>-1405.9912572027185</v>
      </c>
      <c r="I251" s="46">
        <f t="shared" si="142"/>
        <v>-5272.4672145101949</v>
      </c>
      <c r="J251" s="47">
        <f t="shared" si="144"/>
        <v>-6580</v>
      </c>
      <c r="K251" s="47">
        <f t="shared" si="145"/>
        <v>-8696.7533053152092</v>
      </c>
      <c r="L251" s="47">
        <f t="shared" si="146"/>
        <v>-3918.4736960026298</v>
      </c>
      <c r="M251" s="47">
        <f t="shared" si="147"/>
        <v>31332.297868974056</v>
      </c>
      <c r="N251" s="47">
        <f t="shared" si="148"/>
        <v>17732.578980930561</v>
      </c>
      <c r="O251" s="34"/>
      <c r="P251" s="36">
        <f t="shared" si="151"/>
        <v>0</v>
      </c>
      <c r="Q251" s="35"/>
      <c r="R251" s="33"/>
      <c r="S251" s="43"/>
      <c r="T251" s="19"/>
      <c r="U251" s="27">
        <f t="shared" si="149"/>
        <v>31332.297868974056</v>
      </c>
      <c r="V251" s="28">
        <f t="shared" si="149"/>
        <v>17732.578980930561</v>
      </c>
    </row>
    <row r="252" spans="1:22" hidden="1" outlineLevel="1" x14ac:dyDescent="0.25">
      <c r="A252" s="18"/>
      <c r="B252" s="38">
        <f t="shared" si="150"/>
        <v>10</v>
      </c>
      <c r="C252" s="54">
        <f t="shared" si="143"/>
        <v>145.5537480990601</v>
      </c>
      <c r="D252" s="33">
        <f>C252*VLOOKUP($A$243,Ταρίφες!$A$6:$G$23,$K$6,FALSE)*(1+$F$3)^(B252-1)</f>
        <v>49488.274353680434</v>
      </c>
      <c r="E252" s="33">
        <f>C252*VLOOKUP($A$243,Ταρίφες!$A$6:$G$23,$K$7,FALSE)*(1+$F$3)^(B252-1)</f>
        <v>31294.055841297923</v>
      </c>
      <c r="F252" s="46">
        <f t="shared" si="139"/>
        <v>-2151.1666235201596</v>
      </c>
      <c r="G252" s="47">
        <f t="shared" si="140"/>
        <v>-1195.0925686223109</v>
      </c>
      <c r="H252" s="47">
        <f t="shared" si="141"/>
        <v>-1434.1110823467729</v>
      </c>
      <c r="I252" s="46">
        <f t="shared" si="142"/>
        <v>-5377.9165588003989</v>
      </c>
      <c r="J252" s="47">
        <f t="shared" si="144"/>
        <v>-6580</v>
      </c>
      <c r="K252" s="47">
        <f t="shared" si="145"/>
        <v>-8514.9967553016049</v>
      </c>
      <c r="L252" s="47">
        <f t="shared" si="146"/>
        <v>-3784.4999420821528</v>
      </c>
      <c r="M252" s="47">
        <f t="shared" si="147"/>
        <v>30814.990765089184</v>
      </c>
      <c r="N252" s="47">
        <f t="shared" si="148"/>
        <v>17351.269065926128</v>
      </c>
      <c r="O252" s="34"/>
      <c r="P252" s="36">
        <f t="shared" si="151"/>
        <v>0</v>
      </c>
      <c r="Q252" s="35"/>
      <c r="R252" s="33"/>
      <c r="S252" s="43"/>
      <c r="T252" s="19"/>
      <c r="U252" s="27">
        <f t="shared" si="149"/>
        <v>30814.990765089184</v>
      </c>
      <c r="V252" s="28">
        <f t="shared" si="149"/>
        <v>17351.269065926128</v>
      </c>
    </row>
    <row r="253" spans="1:22" hidden="1" outlineLevel="1" x14ac:dyDescent="0.25">
      <c r="A253" s="18"/>
      <c r="B253" s="38">
        <f t="shared" si="150"/>
        <v>11</v>
      </c>
      <c r="C253" s="54">
        <f t="shared" si="143"/>
        <v>144.09821061806949</v>
      </c>
      <c r="D253" s="33">
        <f>C253*VLOOKUP($A$243,Ταρίφες!$A$6:$G$23,$K$6,FALSE)*(1+$F$3)^(B253-1)</f>
        <v>48993.391610143626</v>
      </c>
      <c r="E253" s="33">
        <f>C253*VLOOKUP($A$243,Ταρίφες!$A$6:$G$23,$K$7,FALSE)*(1+$F$3)^(B253-1)</f>
        <v>30981.115282884941</v>
      </c>
      <c r="F253" s="46">
        <f t="shared" si="139"/>
        <v>-2194.1899559905628</v>
      </c>
      <c r="G253" s="47">
        <f t="shared" si="140"/>
        <v>-1218.9944199947572</v>
      </c>
      <c r="H253" s="47">
        <f t="shared" si="141"/>
        <v>-1462.7933039937086</v>
      </c>
      <c r="I253" s="46">
        <f t="shared" si="142"/>
        <v>-5485.4748899764072</v>
      </c>
      <c r="J253" s="47">
        <f t="shared" si="144"/>
        <v>-6580</v>
      </c>
      <c r="K253" s="47">
        <f t="shared" si="145"/>
        <v>-8333.5041504489291</v>
      </c>
      <c r="L253" s="47">
        <f t="shared" si="146"/>
        <v>-3650.3123053616714</v>
      </c>
      <c r="M253" s="47">
        <f t="shared" si="147"/>
        <v>30298.434889739263</v>
      </c>
      <c r="N253" s="47">
        <f t="shared" si="148"/>
        <v>16969.350407567832</v>
      </c>
      <c r="O253" s="34"/>
      <c r="P253" s="36">
        <f t="shared" si="151"/>
        <v>0</v>
      </c>
      <c r="Q253" s="35"/>
      <c r="R253" s="33"/>
      <c r="S253" s="43"/>
      <c r="T253" s="19"/>
      <c r="U253" s="27">
        <f t="shared" si="149"/>
        <v>30298.434889739263</v>
      </c>
      <c r="V253" s="28">
        <f t="shared" si="149"/>
        <v>16969.350407567832</v>
      </c>
    </row>
    <row r="254" spans="1:22" hidden="1" outlineLevel="1" x14ac:dyDescent="0.25">
      <c r="A254" s="18"/>
      <c r="B254" s="38">
        <f t="shared" si="150"/>
        <v>12</v>
      </c>
      <c r="C254" s="54">
        <f t="shared" si="143"/>
        <v>142.6572285118888</v>
      </c>
      <c r="D254" s="33">
        <f>C254*VLOOKUP($A$243,Ταρίφες!$A$6:$G$23,$K$6,FALSE)*(1+$F$3)^(B254-1)</f>
        <v>48503.45769404219</v>
      </c>
      <c r="E254" s="33">
        <f>C254*VLOOKUP($A$243,Ταρίφες!$A$6:$G$23,$K$7,FALSE)*(1+$F$3)^(B254-1)</f>
        <v>30671.304130056094</v>
      </c>
      <c r="F254" s="46">
        <f t="shared" si="139"/>
        <v>-2238.0737551103734</v>
      </c>
      <c r="G254" s="47">
        <f t="shared" si="140"/>
        <v>-1243.374308394652</v>
      </c>
      <c r="H254" s="47">
        <f t="shared" si="141"/>
        <v>-1492.0491700735824</v>
      </c>
      <c r="I254" s="46">
        <f t="shared" si="142"/>
        <v>-5595.1843877759338</v>
      </c>
      <c r="J254" s="47">
        <f t="shared" si="144"/>
        <v>-6580</v>
      </c>
      <c r="K254" s="47">
        <f t="shared" si="145"/>
        <v>-8152.2417788987887</v>
      </c>
      <c r="L254" s="47">
        <f t="shared" si="146"/>
        <v>-3515.8818522624038</v>
      </c>
      <c r="M254" s="47">
        <f t="shared" si="147"/>
        <v>29782.534293788856</v>
      </c>
      <c r="N254" s="47">
        <f t="shared" si="148"/>
        <v>16586.740656439149</v>
      </c>
      <c r="O254" s="34"/>
      <c r="P254" s="36">
        <f t="shared" si="151"/>
        <v>0</v>
      </c>
      <c r="Q254" s="35"/>
      <c r="R254" s="33"/>
      <c r="S254" s="43"/>
      <c r="T254" s="19"/>
      <c r="U254" s="27">
        <f t="shared" si="149"/>
        <v>29782.534293788856</v>
      </c>
      <c r="V254" s="28">
        <f t="shared" si="149"/>
        <v>16586.740656439149</v>
      </c>
    </row>
    <row r="255" spans="1:22" hidden="1" outlineLevel="1" x14ac:dyDescent="0.25">
      <c r="A255" s="18"/>
      <c r="B255" s="38">
        <f t="shared" si="150"/>
        <v>13</v>
      </c>
      <c r="C255" s="54">
        <f t="shared" si="143"/>
        <v>141.23065622676992</v>
      </c>
      <c r="D255" s="33">
        <f>C255*VLOOKUP($A$243,Ταρίφες!$A$6:$G$23,$K$6,FALSE)*(1+$F$3)^(B255-1)</f>
        <v>48018.423117101775</v>
      </c>
      <c r="E255" s="33">
        <f>C255*VLOOKUP($A$243,Ταρίφες!$A$6:$G$23,$K$7,FALSE)*(1+$F$3)^(B255-1)</f>
        <v>30364.591088755533</v>
      </c>
      <c r="F255" s="46">
        <f t="shared" si="139"/>
        <v>-2282.8352302125813</v>
      </c>
      <c r="G255" s="47">
        <f t="shared" si="140"/>
        <v>-1268.2417945625452</v>
      </c>
      <c r="H255" s="47">
        <f t="shared" si="141"/>
        <v>-1521.8901534750544</v>
      </c>
      <c r="I255" s="46">
        <f t="shared" si="142"/>
        <v>-5707.0880755314538</v>
      </c>
      <c r="J255" s="47">
        <f t="shared" si="144"/>
        <v>-6580</v>
      </c>
      <c r="K255" s="47">
        <f t="shared" si="145"/>
        <v>-7971.1756444632374</v>
      </c>
      <c r="L255" s="47">
        <f t="shared" si="146"/>
        <v>-3381.1793170932142</v>
      </c>
      <c r="M255" s="47">
        <f t="shared" si="147"/>
        <v>29267.192218856904</v>
      </c>
      <c r="N255" s="47">
        <f t="shared" si="148"/>
        <v>16203.356517880682</v>
      </c>
      <c r="O255" s="34"/>
      <c r="P255" s="36">
        <f t="shared" si="151"/>
        <v>0</v>
      </c>
      <c r="Q255" s="35"/>
      <c r="R255" s="33"/>
      <c r="S255" s="43"/>
      <c r="T255" s="19"/>
      <c r="U255" s="27">
        <f t="shared" si="149"/>
        <v>29267.192218856904</v>
      </c>
      <c r="V255" s="28">
        <f t="shared" si="149"/>
        <v>16203.356517880682</v>
      </c>
    </row>
    <row r="256" spans="1:22" hidden="1" outlineLevel="1" x14ac:dyDescent="0.25">
      <c r="A256" s="18"/>
      <c r="B256" s="38">
        <f t="shared" si="150"/>
        <v>14</v>
      </c>
      <c r="C256" s="54">
        <f t="shared" si="143"/>
        <v>139.81834966450222</v>
      </c>
      <c r="D256" s="33">
        <f>C256*VLOOKUP($A$243,Ταρίφες!$A$6:$G$23,$K$6,FALSE)*(1+$F$3)^(B256-1)</f>
        <v>47538.238885930754</v>
      </c>
      <c r="E256" s="33">
        <f>C256*VLOOKUP($A$243,Ταρίφες!$A$6:$G$23,$K$7,FALSE)*(1+$F$3)^(B256-1)</f>
        <v>30060.945177867976</v>
      </c>
      <c r="F256" s="46">
        <f t="shared" si="139"/>
        <v>-2328.4919348168328</v>
      </c>
      <c r="G256" s="47">
        <f t="shared" si="140"/>
        <v>-1293.606630453796</v>
      </c>
      <c r="H256" s="47">
        <f t="shared" si="141"/>
        <v>-1552.3279565445553</v>
      </c>
      <c r="I256" s="46">
        <f t="shared" si="142"/>
        <v>-5821.2298370420822</v>
      </c>
      <c r="J256" s="47">
        <f t="shared" si="144"/>
        <v>-6580</v>
      </c>
      <c r="K256" s="47">
        <f t="shared" si="145"/>
        <v>-7790.2714570391063</v>
      </c>
      <c r="L256" s="47">
        <f t="shared" si="146"/>
        <v>-3246.175092942784</v>
      </c>
      <c r="M256" s="47">
        <f t="shared" si="147"/>
        <v>28752.311070034379</v>
      </c>
      <c r="N256" s="47">
        <f t="shared" si="148"/>
        <v>15819.113726067928</v>
      </c>
      <c r="O256" s="34"/>
      <c r="P256" s="36">
        <f t="shared" si="151"/>
        <v>0</v>
      </c>
      <c r="Q256" s="35"/>
      <c r="R256" s="33"/>
      <c r="S256" s="43"/>
      <c r="T256" s="19"/>
      <c r="U256" s="27">
        <f t="shared" si="149"/>
        <v>28752.311070034379</v>
      </c>
      <c r="V256" s="28">
        <f t="shared" si="149"/>
        <v>15819.113726067928</v>
      </c>
    </row>
    <row r="257" spans="1:22" hidden="1" outlineLevel="1" x14ac:dyDescent="0.25">
      <c r="A257" s="18"/>
      <c r="B257" s="38">
        <f t="shared" si="150"/>
        <v>15</v>
      </c>
      <c r="C257" s="54">
        <f t="shared" si="143"/>
        <v>138.42016616785719</v>
      </c>
      <c r="D257" s="33">
        <f>C257*VLOOKUP($A$243,Ταρίφες!$A$6:$G$23,$K$6,FALSE)*(1+$F$3)^(B257-1)</f>
        <v>47062.856497071443</v>
      </c>
      <c r="E257" s="33">
        <f>C257*VLOOKUP($A$243,Ταρίφες!$A$6:$G$23,$K$7,FALSE)*(1+$F$3)^(B257-1)</f>
        <v>29760.335726089295</v>
      </c>
      <c r="F257" s="46">
        <f t="shared" si="139"/>
        <v>-2375.06177351317</v>
      </c>
      <c r="G257" s="47">
        <f t="shared" si="140"/>
        <v>-1319.4787630628721</v>
      </c>
      <c r="H257" s="47">
        <f t="shared" si="141"/>
        <v>-1583.3745156754467</v>
      </c>
      <c r="I257" s="46">
        <f t="shared" si="142"/>
        <v>-5937.6544337829246</v>
      </c>
      <c r="J257" s="47">
        <f t="shared" si="144"/>
        <v>-6580</v>
      </c>
      <c r="K257" s="47">
        <f t="shared" si="145"/>
        <v>-7609.4946228696281</v>
      </c>
      <c r="L257" s="47">
        <f t="shared" si="146"/>
        <v>-3110.8392224142699</v>
      </c>
      <c r="M257" s="47">
        <f t="shared" si="147"/>
        <v>28237.7923881674</v>
      </c>
      <c r="N257" s="47">
        <f t="shared" si="148"/>
        <v>15433.927017640613</v>
      </c>
      <c r="O257" s="34"/>
      <c r="P257" s="36">
        <f t="shared" si="151"/>
        <v>0</v>
      </c>
      <c r="Q257" s="35"/>
      <c r="R257" s="33"/>
      <c r="S257" s="43"/>
      <c r="T257" s="19"/>
      <c r="U257" s="27">
        <f t="shared" si="149"/>
        <v>28237.7923881674</v>
      </c>
      <c r="V257" s="28">
        <f t="shared" si="149"/>
        <v>15433.927017640613</v>
      </c>
    </row>
    <row r="258" spans="1:22" hidden="1" outlineLevel="1" x14ac:dyDescent="0.25">
      <c r="A258" s="18"/>
      <c r="B258" s="38">
        <f t="shared" si="150"/>
        <v>16</v>
      </c>
      <c r="C258" s="54">
        <f t="shared" si="143"/>
        <v>137.03596450617863</v>
      </c>
      <c r="D258" s="33">
        <f>C258*VLOOKUP($A$243,Ταρίφες!$A$6:$G$23,$K$6,FALSE)*(1+$F$3)^(B258-1)</f>
        <v>46592.227932100737</v>
      </c>
      <c r="E258" s="33">
        <f>C258*VLOOKUP($A$243,Ταρίφες!$A$6:$G$23,$K$7,FALSE)*(1+$F$3)^(B258-1)</f>
        <v>29462.732368828405</v>
      </c>
      <c r="F258" s="46">
        <f t="shared" si="139"/>
        <v>-2422.5630089834326</v>
      </c>
      <c r="G258" s="47">
        <f t="shared" si="140"/>
        <v>-1345.8683383241291</v>
      </c>
      <c r="H258" s="47">
        <f t="shared" si="141"/>
        <v>-1615.042005988955</v>
      </c>
      <c r="I258" s="46">
        <f t="shared" si="142"/>
        <v>-6056.4075224585813</v>
      </c>
      <c r="J258" s="47">
        <f t="shared" si="144"/>
        <v>-6580</v>
      </c>
      <c r="K258" s="47">
        <f t="shared" si="145"/>
        <v>-7428.8102346498663</v>
      </c>
      <c r="L258" s="47">
        <f t="shared" si="146"/>
        <v>-2975.1413881990602</v>
      </c>
      <c r="M258" s="47">
        <f t="shared" si="147"/>
        <v>27723.536821695769</v>
      </c>
      <c r="N258" s="47">
        <f t="shared" si="148"/>
        <v>15047.710104874248</v>
      </c>
      <c r="O258" s="34"/>
      <c r="P258" s="36">
        <f t="shared" si="151"/>
        <v>0</v>
      </c>
      <c r="Q258" s="35"/>
      <c r="R258" s="33"/>
      <c r="S258" s="43"/>
      <c r="T258" s="19"/>
      <c r="U258" s="27">
        <f t="shared" si="149"/>
        <v>27723.536821695769</v>
      </c>
      <c r="V258" s="28">
        <f t="shared" si="149"/>
        <v>15047.710104874248</v>
      </c>
    </row>
    <row r="259" spans="1:22" hidden="1" outlineLevel="1" x14ac:dyDescent="0.25">
      <c r="A259" s="18"/>
      <c r="B259" s="38">
        <f t="shared" si="150"/>
        <v>17</v>
      </c>
      <c r="C259" s="54">
        <f t="shared" si="143"/>
        <v>135.66560486111683</v>
      </c>
      <c r="D259" s="33">
        <f>C259*VLOOKUP($A$243,Ταρίφες!$A$6:$G$23,$K$6,FALSE)*(1+$F$3)^(B259-1)</f>
        <v>46126.305652779723</v>
      </c>
      <c r="E259" s="33">
        <f>C259*VLOOKUP($A$243,Ταρίφες!$A$6:$G$23,$K$7,FALSE)*(1+$F$3)^(B259-1)</f>
        <v>29168.105045140121</v>
      </c>
      <c r="F259" s="46">
        <f t="shared" si="139"/>
        <v>-2471.0142691631017</v>
      </c>
      <c r="G259" s="47">
        <f t="shared" si="140"/>
        <v>-1372.7857050906121</v>
      </c>
      <c r="H259" s="47">
        <f t="shared" si="141"/>
        <v>-1647.3428461087344</v>
      </c>
      <c r="I259" s="46">
        <f t="shared" si="142"/>
        <v>-6177.5356729077539</v>
      </c>
      <c r="J259" s="47">
        <f t="shared" si="144"/>
        <v>-6580</v>
      </c>
      <c r="K259" s="47">
        <f t="shared" si="145"/>
        <v>-7248.1830614724759</v>
      </c>
      <c r="L259" s="47">
        <f t="shared" si="146"/>
        <v>-2839.0509034861789</v>
      </c>
      <c r="M259" s="47">
        <f t="shared" si="147"/>
        <v>27209.444098037042</v>
      </c>
      <c r="N259" s="47">
        <f t="shared" si="148"/>
        <v>14660.375648383739</v>
      </c>
      <c r="O259" s="34"/>
      <c r="P259" s="36">
        <f t="shared" si="151"/>
        <v>0</v>
      </c>
      <c r="Q259" s="35"/>
      <c r="R259" s="33"/>
      <c r="S259" s="43"/>
      <c r="T259" s="19"/>
      <c r="U259" s="27">
        <f t="shared" si="149"/>
        <v>27209.444098037042</v>
      </c>
      <c r="V259" s="28">
        <f t="shared" si="149"/>
        <v>14660.375648383739</v>
      </c>
    </row>
    <row r="260" spans="1:22" hidden="1" outlineLevel="1" x14ac:dyDescent="0.25">
      <c r="A260" s="18"/>
      <c r="B260" s="38">
        <f t="shared" si="150"/>
        <v>18</v>
      </c>
      <c r="C260" s="54">
        <f t="shared" si="143"/>
        <v>134.30894881250566</v>
      </c>
      <c r="D260" s="33">
        <f>C260*VLOOKUP($A$243,Ταρίφες!$A$6:$G$23,$K$6,FALSE)*(1+$F$3)^(B260-1)</f>
        <v>45665.042596251922</v>
      </c>
      <c r="E260" s="33">
        <f>C260*VLOOKUP($A$243,Ταρίφες!$A$6:$G$23,$K$7,FALSE)*(1+$F$3)^(B260-1)</f>
        <v>28876.423994688717</v>
      </c>
      <c r="F260" s="46">
        <f t="shared" si="139"/>
        <v>-2520.4345545463639</v>
      </c>
      <c r="G260" s="47">
        <f t="shared" si="140"/>
        <v>-1400.2414191924245</v>
      </c>
      <c r="H260" s="47">
        <f t="shared" si="141"/>
        <v>-1680.2897030309093</v>
      </c>
      <c r="I260" s="46">
        <f t="shared" si="142"/>
        <v>-6301.0863863659097</v>
      </c>
      <c r="J260" s="47">
        <f t="shared" si="144"/>
        <v>-6580</v>
      </c>
      <c r="K260" s="47">
        <f t="shared" si="145"/>
        <v>-7067.5775386102414</v>
      </c>
      <c r="L260" s="47">
        <f t="shared" si="146"/>
        <v>-2702.5367022038085</v>
      </c>
      <c r="M260" s="47">
        <f t="shared" si="147"/>
        <v>26695.412994506078</v>
      </c>
      <c r="N260" s="47">
        <f t="shared" si="148"/>
        <v>14271.835229349301</v>
      </c>
      <c r="O260" s="34"/>
      <c r="P260" s="36">
        <f t="shared" si="151"/>
        <v>0</v>
      </c>
      <c r="Q260" s="35"/>
      <c r="R260" s="33"/>
      <c r="S260" s="43"/>
      <c r="T260" s="19"/>
      <c r="U260" s="27">
        <f t="shared" si="149"/>
        <v>26695.412994506078</v>
      </c>
      <c r="V260" s="28">
        <f t="shared" si="149"/>
        <v>14271.835229349301</v>
      </c>
    </row>
    <row r="261" spans="1:22" hidden="1" outlineLevel="1" x14ac:dyDescent="0.25">
      <c r="A261" s="18"/>
      <c r="B261" s="38">
        <f t="shared" si="150"/>
        <v>19</v>
      </c>
      <c r="C261" s="54">
        <f t="shared" si="143"/>
        <v>132.9658593243806</v>
      </c>
      <c r="D261" s="33">
        <f>C261*VLOOKUP($A$243,Ταρίφες!$A$6:$G$23,$K$6,FALSE)*(1+$F$3)^(B261-1)</f>
        <v>45208.392170289408</v>
      </c>
      <c r="E261" s="33">
        <f>C261*VLOOKUP($A$243,Ταρίφες!$A$6:$G$23,$K$7,FALSE)*(1+$F$3)^(B261-1)</f>
        <v>28587.659754741828</v>
      </c>
      <c r="F261" s="46">
        <f t="shared" si="139"/>
        <v>-2570.8432456372907</v>
      </c>
      <c r="G261" s="47">
        <f t="shared" si="140"/>
        <v>-1428.2462475762727</v>
      </c>
      <c r="H261" s="47">
        <f t="shared" si="141"/>
        <v>-1713.8954970915272</v>
      </c>
      <c r="I261" s="46">
        <f t="shared" si="142"/>
        <v>-6427.1081140932274</v>
      </c>
      <c r="J261" s="47">
        <f t="shared" si="144"/>
        <v>-6580</v>
      </c>
      <c r="K261" s="47">
        <f t="shared" si="145"/>
        <v>-6886.9577571316831</v>
      </c>
      <c r="L261" s="47">
        <f t="shared" si="146"/>
        <v>-2565.5673290893124</v>
      </c>
      <c r="M261" s="47">
        <f t="shared" si="147"/>
        <v>26181.341308759402</v>
      </c>
      <c r="N261" s="47">
        <f t="shared" si="148"/>
        <v>13881.999321254198</v>
      </c>
      <c r="O261" s="34"/>
      <c r="P261" s="36">
        <f t="shared" si="151"/>
        <v>0</v>
      </c>
      <c r="Q261" s="35"/>
      <c r="R261" s="33"/>
      <c r="S261" s="43"/>
      <c r="T261" s="19"/>
      <c r="U261" s="27">
        <f t="shared" si="149"/>
        <v>26181.341308759402</v>
      </c>
      <c r="V261" s="28">
        <f t="shared" si="149"/>
        <v>13881.999321254198</v>
      </c>
    </row>
    <row r="262" spans="1:22" hidden="1" outlineLevel="1" x14ac:dyDescent="0.25">
      <c r="A262" s="18"/>
      <c r="B262" s="38">
        <f>B261+1</f>
        <v>20</v>
      </c>
      <c r="C262" s="54">
        <f>C261*(1-$F$2)</f>
        <v>131.6362007311368</v>
      </c>
      <c r="D262" s="33">
        <f>C262*VLOOKUP($A$243,Ταρίφες!$A$6:$G$23,$K$6,FALSE)*(1+$F$3)^(B262-1)</f>
        <v>44756.308248586509</v>
      </c>
      <c r="E262" s="33">
        <f>C262*VLOOKUP($A$243,Ταρίφες!$A$6:$G$23,$K$7,FALSE)*(1+$F$3)^(B262-1)</f>
        <v>28301.783157194412</v>
      </c>
      <c r="F262" s="46">
        <f t="shared" si="139"/>
        <v>-2622.2601105500366</v>
      </c>
      <c r="G262" s="47">
        <f t="shared" si="140"/>
        <v>-1456.8111725277981</v>
      </c>
      <c r="H262" s="47">
        <f>-$K$4*(1+$F$4)^(B262-$B$12)</f>
        <v>-1748.1734070333578</v>
      </c>
      <c r="I262" s="46">
        <f>-(4500*(1+$F$4)^(B262-$B$12))</f>
        <v>-6555.6502763750914</v>
      </c>
      <c r="J262" s="47">
        <f t="shared" si="144"/>
        <v>-6580</v>
      </c>
      <c r="K262" s="47">
        <f>-(D262+SUM(F262:J262))*$F$5</f>
        <v>-6706.2874533460581</v>
      </c>
      <c r="L262" s="47">
        <f>-(E262+SUM(F262:J262))*$F$5</f>
        <v>-2428.1109295841129</v>
      </c>
      <c r="M262" s="47">
        <f>D262+SUM(F262:I262)+K262</f>
        <v>25667.125828754164</v>
      </c>
      <c r="N262" s="47">
        <f>E262+SUM(F262:I262)+L262</f>
        <v>13490.777261124014</v>
      </c>
      <c r="O262" s="34"/>
      <c r="P262" s="36">
        <f t="shared" si="151"/>
        <v>0</v>
      </c>
      <c r="Q262" s="35"/>
      <c r="R262" s="33"/>
      <c r="S262" s="43"/>
      <c r="T262" s="19"/>
      <c r="U262" s="27">
        <f>M262</f>
        <v>25667.125828754164</v>
      </c>
      <c r="V262" s="28">
        <f>N262</f>
        <v>13490.777261124014</v>
      </c>
    </row>
    <row r="263" spans="1:22" s="40" customFormat="1" hidden="1" outlineLevel="1" x14ac:dyDescent="0.25">
      <c r="O263" s="17"/>
      <c r="P263" s="36">
        <f t="shared" si="151"/>
        <v>0</v>
      </c>
      <c r="Q263" s="25"/>
      <c r="R263" s="22"/>
      <c r="S263" s="52"/>
      <c r="T263" s="44"/>
      <c r="U263" s="74">
        <f>O264</f>
        <v>-141500</v>
      </c>
      <c r="V263" s="74">
        <f>R264</f>
        <v>-103706.82484745044</v>
      </c>
    </row>
    <row r="264" spans="1:22" collapsed="1" x14ac:dyDescent="0.25">
      <c r="A264" s="32" t="str">
        <f>Ταρίφες!A22</f>
        <v>Α Τριμ. 2013</v>
      </c>
      <c r="B264" s="38">
        <f>1</f>
        <v>1</v>
      </c>
      <c r="C264" s="54">
        <f>$F$8*$K$2/1000</f>
        <v>159.33333333333331</v>
      </c>
      <c r="D264" s="33">
        <f>C264*VLOOKUP($A$264,Ταρίφες!$A$6:$G$23,$K$6,FALSE)*(1+$F$3)^(B264-1)</f>
        <v>45409.999999999993</v>
      </c>
      <c r="E264" s="33">
        <f>C264*VLOOKUP($A$264,Ταρίφες!$A$6:$G$23,$K$7,FALSE)*(1+$F$3)^(B264-1)</f>
        <v>32663.333333333328</v>
      </c>
      <c r="F264" s="46">
        <f t="shared" ref="F264:F283" si="152">-($K$5*(1+$F$4)^(B264-$B$12))</f>
        <v>-1800</v>
      </c>
      <c r="G264" s="47">
        <f t="shared" ref="G264:G283" si="153">-$K$2*10*(1+$F$4)^(B264-$B$12)</f>
        <v>-1000</v>
      </c>
      <c r="H264" s="47">
        <f t="shared" ref="H264:H282" si="154">-$K$4*(1+$F$4)^(B264-$B$12)</f>
        <v>-1200</v>
      </c>
      <c r="I264" s="46">
        <f t="shared" ref="I264:I282" si="155">-(4500*(1+$F$4)^(B264-$B$12))</f>
        <v>-4500</v>
      </c>
      <c r="J264" s="47">
        <f>$O$264*4%</f>
        <v>-5660</v>
      </c>
      <c r="K264" s="47">
        <f>-(D264+SUM(F264:J264))*$F$5</f>
        <v>-8124.9999999999982</v>
      </c>
      <c r="L264" s="47">
        <f>-(E264+SUM(F264:J264))*$F$5</f>
        <v>-4810.8666666666659</v>
      </c>
      <c r="M264" s="47">
        <f>D264+SUM(F264:I264)+K264</f>
        <v>28784.999999999993</v>
      </c>
      <c r="N264" s="47">
        <f>E264+SUM(F264:I264)+L264</f>
        <v>19352.466666666664</v>
      </c>
      <c r="O264" s="35">
        <f>-VLOOKUP(A264,'Κόστος Κατασκευής'!$A$4:$Q$17,$K$8,FALSE)</f>
        <v>-141500</v>
      </c>
      <c r="P264" s="36">
        <f t="shared" si="151"/>
        <v>56600</v>
      </c>
      <c r="Q264" s="36">
        <f>Q243*15/16</f>
        <v>-18806.82484745044</v>
      </c>
      <c r="R264" s="37">
        <f>SUM(O264:Q264)</f>
        <v>-103706.82484745044</v>
      </c>
      <c r="S264" s="42">
        <f>IRR(U263:U283)</f>
        <v>0.18118941424560919</v>
      </c>
      <c r="T264" s="42">
        <f>IRR(V263:V283)</f>
        <v>0.1594610515937116</v>
      </c>
      <c r="U264" s="27">
        <f>M264</f>
        <v>28784.999999999993</v>
      </c>
      <c r="V264" s="28">
        <f>N264</f>
        <v>19352.466666666664</v>
      </c>
    </row>
    <row r="265" spans="1:22" hidden="1" outlineLevel="1" x14ac:dyDescent="0.25">
      <c r="A265" s="18"/>
      <c r="B265" s="38">
        <f>B264+1</f>
        <v>2</v>
      </c>
      <c r="C265" s="54">
        <f t="shared" ref="C265:C282" si="156">C264*(1-$F$2)</f>
        <v>157.73999999999998</v>
      </c>
      <c r="D265" s="33">
        <f>C265*VLOOKUP($A$264,Ταρίφες!$A$6:$G$23,$K$6,FALSE)*(1+$F$3)^(B265-1)</f>
        <v>44955.899999999994</v>
      </c>
      <c r="E265" s="33">
        <f>C265*VLOOKUP($A$264,Ταρίφες!$A$6:$G$23,$K$7,FALSE)*(1+$F$3)^(B265-1)</f>
        <v>32336.699999999997</v>
      </c>
      <c r="F265" s="46">
        <f t="shared" si="152"/>
        <v>-1836</v>
      </c>
      <c r="G265" s="47">
        <f t="shared" si="153"/>
        <v>-1020</v>
      </c>
      <c r="H265" s="47">
        <f t="shared" si="154"/>
        <v>-1224</v>
      </c>
      <c r="I265" s="46">
        <f t="shared" si="155"/>
        <v>-4590</v>
      </c>
      <c r="J265" s="47">
        <f t="shared" ref="J265:J283" si="157">$O$264*4%</f>
        <v>-5660</v>
      </c>
      <c r="K265" s="47">
        <f t="shared" ref="K265:K282" si="158">-(D265+SUM(F265:J265))*$F$5</f>
        <v>-7962.7339999999986</v>
      </c>
      <c r="L265" s="47">
        <f t="shared" ref="L265:L282" si="159">-(E265+SUM(F265:J265))*$F$5</f>
        <v>-4681.7419999999993</v>
      </c>
      <c r="M265" s="47">
        <f t="shared" ref="M265:M282" si="160">D265+SUM(F265:I265)+K265</f>
        <v>28323.165999999997</v>
      </c>
      <c r="N265" s="47">
        <f t="shared" ref="N265:N282" si="161">E265+SUM(F265:I265)+L265</f>
        <v>18984.957999999999</v>
      </c>
      <c r="O265" s="34"/>
      <c r="P265" s="36">
        <f t="shared" si="151"/>
        <v>0</v>
      </c>
      <c r="Q265" s="35"/>
      <c r="R265" s="33"/>
      <c r="S265" s="43"/>
      <c r="T265" s="19"/>
      <c r="U265" s="27">
        <f t="shared" ref="U265:V282" si="162">M265</f>
        <v>28323.165999999997</v>
      </c>
      <c r="V265" s="28">
        <f t="shared" si="162"/>
        <v>18984.957999999999</v>
      </c>
    </row>
    <row r="266" spans="1:22" hidden="1" outlineLevel="1" x14ac:dyDescent="0.25">
      <c r="A266" s="18"/>
      <c r="B266" s="38">
        <f t="shared" ref="B266:B282" si="163">B265+1</f>
        <v>3</v>
      </c>
      <c r="C266" s="54">
        <f t="shared" si="156"/>
        <v>156.16259999999997</v>
      </c>
      <c r="D266" s="33">
        <f>C266*VLOOKUP($A$264,Ταρίφες!$A$6:$G$23,$K$6,FALSE)*(1+$F$3)^(B266-1)</f>
        <v>44506.340999999993</v>
      </c>
      <c r="E266" s="33">
        <f>C266*VLOOKUP($A$264,Ταρίφες!$A$6:$G$23,$K$7,FALSE)*(1+$F$3)^(B266-1)</f>
        <v>32013.332999999995</v>
      </c>
      <c r="F266" s="46">
        <f t="shared" si="152"/>
        <v>-1872.72</v>
      </c>
      <c r="G266" s="47">
        <f t="shared" si="153"/>
        <v>-1040.4000000000001</v>
      </c>
      <c r="H266" s="47">
        <f t="shared" si="154"/>
        <v>-1248.48</v>
      </c>
      <c r="I266" s="46">
        <f t="shared" si="155"/>
        <v>-4681.8</v>
      </c>
      <c r="J266" s="47">
        <f t="shared" si="157"/>
        <v>-5660</v>
      </c>
      <c r="K266" s="47">
        <f t="shared" si="158"/>
        <v>-7800.764659999998</v>
      </c>
      <c r="L266" s="47">
        <f t="shared" si="159"/>
        <v>-4552.5825799999984</v>
      </c>
      <c r="M266" s="47">
        <f t="shared" si="160"/>
        <v>27862.176339999995</v>
      </c>
      <c r="N266" s="47">
        <f t="shared" si="161"/>
        <v>18617.350419999995</v>
      </c>
      <c r="O266" s="34"/>
      <c r="P266" s="36">
        <f t="shared" si="151"/>
        <v>0</v>
      </c>
      <c r="Q266" s="35"/>
      <c r="R266" s="33"/>
      <c r="S266" s="43"/>
      <c r="T266" s="19"/>
      <c r="U266" s="27">
        <f t="shared" si="162"/>
        <v>27862.176339999995</v>
      </c>
      <c r="V266" s="28">
        <f t="shared" si="162"/>
        <v>18617.350419999995</v>
      </c>
    </row>
    <row r="267" spans="1:22" hidden="1" outlineLevel="1" x14ac:dyDescent="0.25">
      <c r="A267" s="18"/>
      <c r="B267" s="38">
        <f t="shared" si="163"/>
        <v>4</v>
      </c>
      <c r="C267" s="54">
        <f t="shared" si="156"/>
        <v>154.60097399999998</v>
      </c>
      <c r="D267" s="33">
        <f>C267*VLOOKUP($A$264,Ταρίφες!$A$6:$G$23,$K$6,FALSE)*(1+$F$3)^(B267-1)</f>
        <v>44061.277589999991</v>
      </c>
      <c r="E267" s="33">
        <f>C267*VLOOKUP($A$264,Ταρίφες!$A$6:$G$23,$K$7,FALSE)*(1+$F$3)^(B267-1)</f>
        <v>31693.199669999995</v>
      </c>
      <c r="F267" s="46">
        <f t="shared" si="152"/>
        <v>-1910.1743999999999</v>
      </c>
      <c r="G267" s="47">
        <f t="shared" si="153"/>
        <v>-1061.2079999999999</v>
      </c>
      <c r="H267" s="47">
        <f t="shared" si="154"/>
        <v>-1273.4495999999999</v>
      </c>
      <c r="I267" s="46">
        <f t="shared" si="155"/>
        <v>-4775.4359999999997</v>
      </c>
      <c r="J267" s="47">
        <f t="shared" si="157"/>
        <v>-5660</v>
      </c>
      <c r="K267" s="47">
        <f t="shared" si="158"/>
        <v>-7639.0624933999979</v>
      </c>
      <c r="L267" s="47">
        <f t="shared" si="159"/>
        <v>-4423.362234199999</v>
      </c>
      <c r="M267" s="47">
        <f t="shared" si="160"/>
        <v>27401.94709659999</v>
      </c>
      <c r="N267" s="47">
        <f t="shared" si="161"/>
        <v>18249.569435799996</v>
      </c>
      <c r="O267" s="34"/>
      <c r="P267" s="36">
        <f t="shared" si="151"/>
        <v>0</v>
      </c>
      <c r="Q267" s="35"/>
      <c r="R267" s="33"/>
      <c r="S267" s="43"/>
      <c r="T267" s="19"/>
      <c r="U267" s="27">
        <f t="shared" si="162"/>
        <v>27401.94709659999</v>
      </c>
      <c r="V267" s="28">
        <f t="shared" si="162"/>
        <v>18249.569435799996</v>
      </c>
    </row>
    <row r="268" spans="1:22" hidden="1" outlineLevel="1" x14ac:dyDescent="0.25">
      <c r="A268" s="18"/>
      <c r="B268" s="38">
        <f t="shared" si="163"/>
        <v>5</v>
      </c>
      <c r="C268" s="54">
        <f t="shared" si="156"/>
        <v>153.05496425999999</v>
      </c>
      <c r="D268" s="33">
        <f>C268*VLOOKUP($A$264,Ταρίφες!$A$6:$G$23,$K$6,FALSE)*(1+$F$3)^(B268-1)</f>
        <v>43620.664814099997</v>
      </c>
      <c r="E268" s="33">
        <f>C268*VLOOKUP($A$264,Ταρίφες!$A$6:$G$23,$K$7,FALSE)*(1+$F$3)^(B268-1)</f>
        <v>31376.267673299997</v>
      </c>
      <c r="F268" s="46">
        <f t="shared" si="152"/>
        <v>-1948.377888</v>
      </c>
      <c r="G268" s="47">
        <f t="shared" si="153"/>
        <v>-1082.4321600000001</v>
      </c>
      <c r="H268" s="47">
        <f t="shared" si="154"/>
        <v>-1298.918592</v>
      </c>
      <c r="I268" s="46">
        <f t="shared" si="155"/>
        <v>-4870.9447199999995</v>
      </c>
      <c r="J268" s="47">
        <f t="shared" si="157"/>
        <v>-5660</v>
      </c>
      <c r="K268" s="47">
        <f t="shared" si="158"/>
        <v>-7477.5977780659996</v>
      </c>
      <c r="L268" s="47">
        <f t="shared" si="159"/>
        <v>-4294.0545214579988</v>
      </c>
      <c r="M268" s="47">
        <f t="shared" si="160"/>
        <v>26942.393676033997</v>
      </c>
      <c r="N268" s="47">
        <f t="shared" si="161"/>
        <v>17881.539791841999</v>
      </c>
      <c r="O268" s="34"/>
      <c r="P268" s="36">
        <f t="shared" si="151"/>
        <v>0</v>
      </c>
      <c r="Q268" s="35"/>
      <c r="R268" s="33"/>
      <c r="S268" s="43"/>
      <c r="T268" s="19"/>
      <c r="U268" s="27">
        <f t="shared" si="162"/>
        <v>26942.393676033997</v>
      </c>
      <c r="V268" s="28">
        <f t="shared" si="162"/>
        <v>17881.539791841999</v>
      </c>
    </row>
    <row r="269" spans="1:22" hidden="1" outlineLevel="1" x14ac:dyDescent="0.25">
      <c r="A269" s="18"/>
      <c r="B269" s="38">
        <f t="shared" si="163"/>
        <v>6</v>
      </c>
      <c r="C269" s="54">
        <f t="shared" si="156"/>
        <v>151.5244146174</v>
      </c>
      <c r="D269" s="33">
        <f>C269*VLOOKUP($A$264,Ταρίφες!$A$6:$G$23,$K$6,FALSE)*(1+$F$3)^(B269-1)</f>
        <v>43184.458165958997</v>
      </c>
      <c r="E269" s="33">
        <f>C269*VLOOKUP($A$264,Ταρίφες!$A$6:$G$23,$K$7,FALSE)*(1+$F$3)^(B269-1)</f>
        <v>31062.504996567</v>
      </c>
      <c r="F269" s="46">
        <f t="shared" si="152"/>
        <v>-1987.3454457600001</v>
      </c>
      <c r="G269" s="47">
        <f t="shared" si="153"/>
        <v>-1104.0808032</v>
      </c>
      <c r="H269" s="47">
        <f t="shared" si="154"/>
        <v>-1324.8969638400001</v>
      </c>
      <c r="I269" s="46">
        <f t="shared" si="155"/>
        <v>-4968.3636144000002</v>
      </c>
      <c r="J269" s="47">
        <f t="shared" si="157"/>
        <v>-5660</v>
      </c>
      <c r="K269" s="47">
        <f t="shared" si="158"/>
        <v>-7316.3405480773399</v>
      </c>
      <c r="L269" s="47">
        <f t="shared" si="159"/>
        <v>-4164.6327240354203</v>
      </c>
      <c r="M269" s="47">
        <f t="shared" si="160"/>
        <v>26483.430790681658</v>
      </c>
      <c r="N269" s="47">
        <f t="shared" si="161"/>
        <v>17513.185445331583</v>
      </c>
      <c r="O269" s="34"/>
      <c r="P269" s="36">
        <f t="shared" si="151"/>
        <v>0</v>
      </c>
      <c r="Q269" s="35"/>
      <c r="R269" s="33"/>
      <c r="S269" s="43"/>
      <c r="T269" s="19"/>
      <c r="U269" s="27">
        <f t="shared" si="162"/>
        <v>26483.430790681658</v>
      </c>
      <c r="V269" s="28">
        <f t="shared" si="162"/>
        <v>17513.185445331583</v>
      </c>
    </row>
    <row r="270" spans="1:22" hidden="1" outlineLevel="1" x14ac:dyDescent="0.25">
      <c r="A270" s="18"/>
      <c r="B270" s="38">
        <f t="shared" si="163"/>
        <v>7</v>
      </c>
      <c r="C270" s="54">
        <f t="shared" si="156"/>
        <v>150.00917047122599</v>
      </c>
      <c r="D270" s="33">
        <f>C270*VLOOKUP($A$264,Ταρίφες!$A$6:$G$23,$K$6,FALSE)*(1+$F$3)^(B270-1)</f>
        <v>42752.613584299404</v>
      </c>
      <c r="E270" s="33">
        <f>C270*VLOOKUP($A$264,Ταρίφες!$A$6:$G$23,$K$7,FALSE)*(1+$F$3)^(B270-1)</f>
        <v>30751.879946601326</v>
      </c>
      <c r="F270" s="46">
        <f t="shared" si="152"/>
        <v>-2027.0923546752001</v>
      </c>
      <c r="G270" s="47">
        <f t="shared" si="153"/>
        <v>-1126.1624192640002</v>
      </c>
      <c r="H270" s="47">
        <f t="shared" si="154"/>
        <v>-1351.3949031168002</v>
      </c>
      <c r="I270" s="46">
        <f t="shared" si="155"/>
        <v>-5067.7308866880003</v>
      </c>
      <c r="J270" s="47">
        <f t="shared" si="157"/>
        <v>-5660</v>
      </c>
      <c r="K270" s="47">
        <f t="shared" si="158"/>
        <v>-7155.2605853444047</v>
      </c>
      <c r="L270" s="47">
        <f t="shared" si="159"/>
        <v>-4035.0698395429044</v>
      </c>
      <c r="M270" s="47">
        <f t="shared" si="160"/>
        <v>26024.972435210999</v>
      </c>
      <c r="N270" s="47">
        <f t="shared" si="161"/>
        <v>17144.429543314422</v>
      </c>
      <c r="O270" s="34"/>
      <c r="P270" s="36">
        <f t="shared" si="151"/>
        <v>0</v>
      </c>
      <c r="Q270" s="35"/>
      <c r="R270" s="33"/>
      <c r="S270" s="43"/>
      <c r="T270" s="19"/>
      <c r="U270" s="27">
        <f t="shared" si="162"/>
        <v>26024.972435210999</v>
      </c>
      <c r="V270" s="28">
        <f t="shared" si="162"/>
        <v>17144.429543314422</v>
      </c>
    </row>
    <row r="271" spans="1:22" hidden="1" outlineLevel="1" x14ac:dyDescent="0.25">
      <c r="A271" s="18"/>
      <c r="B271" s="38">
        <f t="shared" si="163"/>
        <v>8</v>
      </c>
      <c r="C271" s="54">
        <f t="shared" si="156"/>
        <v>148.50907876651374</v>
      </c>
      <c r="D271" s="33">
        <f>C271*VLOOKUP($A$264,Ταρίφες!$A$6:$G$23,$K$6,FALSE)*(1+$F$3)^(B271-1)</f>
        <v>42325.087448456412</v>
      </c>
      <c r="E271" s="33">
        <f>C271*VLOOKUP($A$264,Ταρίφες!$A$6:$G$23,$K$7,FALSE)*(1+$F$3)^(B271-1)</f>
        <v>30444.361147135318</v>
      </c>
      <c r="F271" s="46">
        <f t="shared" si="152"/>
        <v>-2067.6342017687039</v>
      </c>
      <c r="G271" s="47">
        <f t="shared" si="153"/>
        <v>-1148.6856676492798</v>
      </c>
      <c r="H271" s="47">
        <f t="shared" si="154"/>
        <v>-1378.4228011791358</v>
      </c>
      <c r="I271" s="46">
        <f t="shared" si="155"/>
        <v>-5169.0855044217587</v>
      </c>
      <c r="J271" s="47">
        <f t="shared" si="157"/>
        <v>-5660</v>
      </c>
      <c r="K271" s="47">
        <f t="shared" si="158"/>
        <v>-6994.3274110937591</v>
      </c>
      <c r="L271" s="47">
        <f t="shared" si="159"/>
        <v>-3905.3385727502746</v>
      </c>
      <c r="M271" s="47">
        <f t="shared" si="160"/>
        <v>25566.931862343776</v>
      </c>
      <c r="N271" s="47">
        <f t="shared" si="161"/>
        <v>16775.194399366163</v>
      </c>
      <c r="O271" s="34"/>
      <c r="P271" s="36">
        <f t="shared" si="151"/>
        <v>0</v>
      </c>
      <c r="Q271" s="35"/>
      <c r="R271" s="33"/>
      <c r="S271" s="43"/>
      <c r="T271" s="19"/>
      <c r="U271" s="27">
        <f t="shared" si="162"/>
        <v>25566.931862343776</v>
      </c>
      <c r="V271" s="28">
        <f t="shared" si="162"/>
        <v>16775.194399366163</v>
      </c>
    </row>
    <row r="272" spans="1:22" hidden="1" outlineLevel="1" x14ac:dyDescent="0.25">
      <c r="A272" s="18"/>
      <c r="B272" s="38">
        <f t="shared" si="163"/>
        <v>9</v>
      </c>
      <c r="C272" s="54">
        <f t="shared" si="156"/>
        <v>147.0239879788486</v>
      </c>
      <c r="D272" s="33">
        <f>C272*VLOOKUP($A$264,Ταρίφες!$A$6:$G$23,$K$6,FALSE)*(1+$F$3)^(B272-1)</f>
        <v>41901.83657397185</v>
      </c>
      <c r="E272" s="33">
        <f>C272*VLOOKUP($A$264,Ταρίφες!$A$6:$G$23,$K$7,FALSE)*(1+$F$3)^(B272-1)</f>
        <v>30139.917535663961</v>
      </c>
      <c r="F272" s="46">
        <f t="shared" si="152"/>
        <v>-2108.9868858040782</v>
      </c>
      <c r="G272" s="47">
        <f t="shared" si="153"/>
        <v>-1171.6593810022655</v>
      </c>
      <c r="H272" s="47">
        <f t="shared" si="154"/>
        <v>-1405.9912572027185</v>
      </c>
      <c r="I272" s="46">
        <f t="shared" si="155"/>
        <v>-5272.4672145101949</v>
      </c>
      <c r="J272" s="47">
        <f t="shared" si="157"/>
        <v>-5660</v>
      </c>
      <c r="K272" s="47">
        <f t="shared" si="158"/>
        <v>-6833.5102772176742</v>
      </c>
      <c r="L272" s="47">
        <f t="shared" si="159"/>
        <v>-3775.4113272576228</v>
      </c>
      <c r="M272" s="47">
        <f t="shared" si="160"/>
        <v>25109.221558234916</v>
      </c>
      <c r="N272" s="47">
        <f t="shared" si="161"/>
        <v>16405.401469887081</v>
      </c>
      <c r="O272" s="34"/>
      <c r="P272" s="36">
        <f t="shared" si="151"/>
        <v>0</v>
      </c>
      <c r="Q272" s="35"/>
      <c r="R272" s="33"/>
      <c r="S272" s="43"/>
      <c r="T272" s="19"/>
      <c r="U272" s="27">
        <f t="shared" si="162"/>
        <v>25109.221558234916</v>
      </c>
      <c r="V272" s="28">
        <f t="shared" si="162"/>
        <v>16405.401469887081</v>
      </c>
    </row>
    <row r="273" spans="1:22" hidden="1" outlineLevel="1" x14ac:dyDescent="0.25">
      <c r="A273" s="18"/>
      <c r="B273" s="38">
        <f t="shared" si="163"/>
        <v>10</v>
      </c>
      <c r="C273" s="54">
        <f t="shared" si="156"/>
        <v>145.5537480990601</v>
      </c>
      <c r="D273" s="33">
        <f>C273*VLOOKUP($A$264,Ταρίφες!$A$6:$G$23,$K$6,FALSE)*(1+$F$3)^(B273-1)</f>
        <v>41482.818208232129</v>
      </c>
      <c r="E273" s="33">
        <f>C273*VLOOKUP($A$264,Ταρίφες!$A$6:$G$23,$K$7,FALSE)*(1+$F$3)^(B273-1)</f>
        <v>29838.51836030732</v>
      </c>
      <c r="F273" s="46">
        <f t="shared" si="152"/>
        <v>-2151.1666235201596</v>
      </c>
      <c r="G273" s="47">
        <f t="shared" si="153"/>
        <v>-1195.0925686223109</v>
      </c>
      <c r="H273" s="47">
        <f t="shared" si="154"/>
        <v>-1434.1110823467729</v>
      </c>
      <c r="I273" s="46">
        <f t="shared" si="155"/>
        <v>-5377.9165588003989</v>
      </c>
      <c r="J273" s="47">
        <f t="shared" si="157"/>
        <v>-5660</v>
      </c>
      <c r="K273" s="47">
        <f t="shared" si="158"/>
        <v>-6672.7781574850469</v>
      </c>
      <c r="L273" s="47">
        <f t="shared" si="159"/>
        <v>-3645.260197024596</v>
      </c>
      <c r="M273" s="47">
        <f t="shared" si="160"/>
        <v>24651.753217457437</v>
      </c>
      <c r="N273" s="47">
        <f t="shared" si="161"/>
        <v>16034.971329993081</v>
      </c>
      <c r="O273" s="34"/>
      <c r="P273" s="36">
        <f t="shared" si="151"/>
        <v>0</v>
      </c>
      <c r="Q273" s="35"/>
      <c r="R273" s="33"/>
      <c r="S273" s="43"/>
      <c r="T273" s="19"/>
      <c r="U273" s="27">
        <f t="shared" si="162"/>
        <v>24651.753217457437</v>
      </c>
      <c r="V273" s="28">
        <f t="shared" si="162"/>
        <v>16034.971329993081</v>
      </c>
    </row>
    <row r="274" spans="1:22" hidden="1" outlineLevel="1" x14ac:dyDescent="0.25">
      <c r="A274" s="18"/>
      <c r="B274" s="38">
        <f t="shared" si="163"/>
        <v>11</v>
      </c>
      <c r="C274" s="54">
        <f t="shared" si="156"/>
        <v>144.09821061806949</v>
      </c>
      <c r="D274" s="33">
        <f>C274*VLOOKUP($A$264,Ταρίφες!$A$6:$G$23,$K$6,FALSE)*(1+$F$3)^(B274-1)</f>
        <v>41067.990026149804</v>
      </c>
      <c r="E274" s="33">
        <f>C274*VLOOKUP($A$264,Ταρίφες!$A$6:$G$23,$K$7,FALSE)*(1+$F$3)^(B274-1)</f>
        <v>29540.133176704247</v>
      </c>
      <c r="F274" s="46">
        <f t="shared" si="152"/>
        <v>-2194.1899559905628</v>
      </c>
      <c r="G274" s="47">
        <f t="shared" si="153"/>
        <v>-1218.9944199947572</v>
      </c>
      <c r="H274" s="47">
        <f t="shared" si="154"/>
        <v>-1462.7933039937086</v>
      </c>
      <c r="I274" s="46">
        <f t="shared" si="155"/>
        <v>-5485.4748899764072</v>
      </c>
      <c r="J274" s="47">
        <f t="shared" si="157"/>
        <v>-5660</v>
      </c>
      <c r="K274" s="47">
        <f t="shared" si="158"/>
        <v>-6512.0997386105355</v>
      </c>
      <c r="L274" s="47">
        <f t="shared" si="159"/>
        <v>-3514.8569577546909</v>
      </c>
      <c r="M274" s="47">
        <f t="shared" si="160"/>
        <v>24194.437717583831</v>
      </c>
      <c r="N274" s="47">
        <f t="shared" si="161"/>
        <v>15663.823648994119</v>
      </c>
      <c r="O274" s="34"/>
      <c r="P274" s="36">
        <f t="shared" si="151"/>
        <v>0</v>
      </c>
      <c r="Q274" s="35"/>
      <c r="R274" s="33"/>
      <c r="S274" s="43"/>
      <c r="T274" s="19"/>
      <c r="U274" s="27">
        <f t="shared" si="162"/>
        <v>24194.437717583831</v>
      </c>
      <c r="V274" s="28">
        <f t="shared" si="162"/>
        <v>15663.823648994119</v>
      </c>
    </row>
    <row r="275" spans="1:22" hidden="1" outlineLevel="1" x14ac:dyDescent="0.25">
      <c r="A275" s="18"/>
      <c r="B275" s="38">
        <f t="shared" si="163"/>
        <v>12</v>
      </c>
      <c r="C275" s="54">
        <f t="shared" si="156"/>
        <v>142.6572285118888</v>
      </c>
      <c r="D275" s="33">
        <f>C275*VLOOKUP($A$264,Ταρίφες!$A$6:$G$23,$K$6,FALSE)*(1+$F$3)^(B275-1)</f>
        <v>40657.310125888311</v>
      </c>
      <c r="E275" s="33">
        <f>C275*VLOOKUP($A$264,Ταρίφες!$A$6:$G$23,$K$7,FALSE)*(1+$F$3)^(B275-1)</f>
        <v>29244.731844937203</v>
      </c>
      <c r="F275" s="46">
        <f t="shared" si="152"/>
        <v>-2238.0737551103734</v>
      </c>
      <c r="G275" s="47">
        <f t="shared" si="153"/>
        <v>-1243.374308394652</v>
      </c>
      <c r="H275" s="47">
        <f t="shared" si="154"/>
        <v>-1492.0491700735824</v>
      </c>
      <c r="I275" s="46">
        <f t="shared" si="155"/>
        <v>-5595.1843877759338</v>
      </c>
      <c r="J275" s="47">
        <f t="shared" si="157"/>
        <v>-5660</v>
      </c>
      <c r="K275" s="47">
        <f t="shared" si="158"/>
        <v>-6351.4434111787796</v>
      </c>
      <c r="L275" s="47">
        <f t="shared" si="159"/>
        <v>-3384.1730581314919</v>
      </c>
      <c r="M275" s="47">
        <f t="shared" si="160"/>
        <v>23737.185093354987</v>
      </c>
      <c r="N275" s="47">
        <f t="shared" si="161"/>
        <v>15291.877165451169</v>
      </c>
      <c r="O275" s="34"/>
      <c r="P275" s="36">
        <f t="shared" si="151"/>
        <v>0</v>
      </c>
      <c r="Q275" s="35"/>
      <c r="R275" s="33"/>
      <c r="S275" s="43"/>
      <c r="T275" s="19"/>
      <c r="U275" s="27">
        <f t="shared" si="162"/>
        <v>23737.185093354987</v>
      </c>
      <c r="V275" s="28">
        <f t="shared" si="162"/>
        <v>15291.877165451169</v>
      </c>
    </row>
    <row r="276" spans="1:22" hidden="1" outlineLevel="1" x14ac:dyDescent="0.25">
      <c r="A276" s="18"/>
      <c r="B276" s="38">
        <f t="shared" si="163"/>
        <v>13</v>
      </c>
      <c r="C276" s="54">
        <f t="shared" si="156"/>
        <v>141.23065622676992</v>
      </c>
      <c r="D276" s="33">
        <f>C276*VLOOKUP($A$264,Ταρίφες!$A$6:$G$23,$K$6,FALSE)*(1+$F$3)^(B276-1)</f>
        <v>40250.73702462943</v>
      </c>
      <c r="E276" s="33">
        <f>C276*VLOOKUP($A$264,Ταρίφες!$A$6:$G$23,$K$7,FALSE)*(1+$F$3)^(B276-1)</f>
        <v>28952.284526487834</v>
      </c>
      <c r="F276" s="46">
        <f t="shared" si="152"/>
        <v>-2282.8352302125813</v>
      </c>
      <c r="G276" s="47">
        <f t="shared" si="153"/>
        <v>-1268.2417945625452</v>
      </c>
      <c r="H276" s="47">
        <f t="shared" si="154"/>
        <v>-1521.8901534750544</v>
      </c>
      <c r="I276" s="46">
        <f t="shared" si="155"/>
        <v>-5707.0880755314538</v>
      </c>
      <c r="J276" s="47">
        <f t="shared" si="157"/>
        <v>-5660</v>
      </c>
      <c r="K276" s="47">
        <f t="shared" si="158"/>
        <v>-6190.7772604204274</v>
      </c>
      <c r="L276" s="47">
        <f t="shared" si="159"/>
        <v>-3253.1796109036122</v>
      </c>
      <c r="M276" s="47">
        <f t="shared" si="160"/>
        <v>23279.904510427368</v>
      </c>
      <c r="N276" s="47">
        <f t="shared" si="161"/>
        <v>14919.04966180259</v>
      </c>
      <c r="O276" s="34"/>
      <c r="P276" s="36">
        <f t="shared" si="151"/>
        <v>0</v>
      </c>
      <c r="Q276" s="35"/>
      <c r="R276" s="33"/>
      <c r="S276" s="43"/>
      <c r="T276" s="19"/>
      <c r="U276" s="27">
        <f t="shared" si="162"/>
        <v>23279.904510427368</v>
      </c>
      <c r="V276" s="28">
        <f t="shared" si="162"/>
        <v>14919.04966180259</v>
      </c>
    </row>
    <row r="277" spans="1:22" hidden="1" outlineLevel="1" x14ac:dyDescent="0.25">
      <c r="A277" s="18"/>
      <c r="B277" s="38">
        <f t="shared" si="163"/>
        <v>14</v>
      </c>
      <c r="C277" s="54">
        <f t="shared" si="156"/>
        <v>139.81834966450222</v>
      </c>
      <c r="D277" s="33">
        <f>C277*VLOOKUP($A$264,Ταρίφες!$A$6:$G$23,$K$6,FALSE)*(1+$F$3)^(B277-1)</f>
        <v>39848.229654383133</v>
      </c>
      <c r="E277" s="33">
        <f>C277*VLOOKUP($A$264,Ταρίφες!$A$6:$G$23,$K$7,FALSE)*(1+$F$3)^(B277-1)</f>
        <v>28662.761681222957</v>
      </c>
      <c r="F277" s="46">
        <f t="shared" si="152"/>
        <v>-2328.4919348168328</v>
      </c>
      <c r="G277" s="47">
        <f t="shared" si="153"/>
        <v>-1293.606630453796</v>
      </c>
      <c r="H277" s="47">
        <f t="shared" si="154"/>
        <v>-1552.3279565445553</v>
      </c>
      <c r="I277" s="46">
        <f t="shared" si="155"/>
        <v>-5821.2298370420822</v>
      </c>
      <c r="J277" s="47">
        <f t="shared" si="157"/>
        <v>-5660</v>
      </c>
      <c r="K277" s="47">
        <f t="shared" si="158"/>
        <v>-6030.0690568367254</v>
      </c>
      <c r="L277" s="47">
        <f t="shared" si="159"/>
        <v>-3121.8473838150794</v>
      </c>
      <c r="M277" s="47">
        <f t="shared" si="160"/>
        <v>22822.50423868914</v>
      </c>
      <c r="N277" s="47">
        <f t="shared" si="161"/>
        <v>14545.257938550614</v>
      </c>
      <c r="O277" s="34"/>
      <c r="P277" s="36">
        <f t="shared" si="151"/>
        <v>0</v>
      </c>
      <c r="Q277" s="35"/>
      <c r="R277" s="33"/>
      <c r="S277" s="43"/>
      <c r="T277" s="19"/>
      <c r="U277" s="27">
        <f t="shared" si="162"/>
        <v>22822.50423868914</v>
      </c>
      <c r="V277" s="28">
        <f t="shared" si="162"/>
        <v>14545.257938550614</v>
      </c>
    </row>
    <row r="278" spans="1:22" hidden="1" outlineLevel="1" x14ac:dyDescent="0.25">
      <c r="A278" s="18"/>
      <c r="B278" s="38">
        <f t="shared" si="163"/>
        <v>15</v>
      </c>
      <c r="C278" s="54">
        <f t="shared" si="156"/>
        <v>138.42016616785719</v>
      </c>
      <c r="D278" s="33">
        <f>C278*VLOOKUP($A$264,Ταρίφες!$A$6:$G$23,$K$6,FALSE)*(1+$F$3)^(B278-1)</f>
        <v>39449.747357839296</v>
      </c>
      <c r="E278" s="33">
        <f>C278*VLOOKUP($A$264,Ταρίφες!$A$6:$G$23,$K$7,FALSE)*(1+$F$3)^(B278-1)</f>
        <v>28376.134064410722</v>
      </c>
      <c r="F278" s="46">
        <f t="shared" si="152"/>
        <v>-2375.06177351317</v>
      </c>
      <c r="G278" s="47">
        <f t="shared" si="153"/>
        <v>-1319.4787630628721</v>
      </c>
      <c r="H278" s="47">
        <f t="shared" si="154"/>
        <v>-1583.3745156754467</v>
      </c>
      <c r="I278" s="46">
        <f t="shared" si="155"/>
        <v>-5937.6544337829246</v>
      </c>
      <c r="J278" s="47">
        <f t="shared" si="157"/>
        <v>-5660</v>
      </c>
      <c r="K278" s="47">
        <f t="shared" si="158"/>
        <v>-5869.2862466692704</v>
      </c>
      <c r="L278" s="47">
        <f t="shared" si="159"/>
        <v>-2990.1467903778407</v>
      </c>
      <c r="M278" s="47">
        <f t="shared" si="160"/>
        <v>22364.891625135613</v>
      </c>
      <c r="N278" s="47">
        <f t="shared" si="161"/>
        <v>14170.417787998469</v>
      </c>
      <c r="O278" s="34"/>
      <c r="P278" s="36">
        <f t="shared" si="151"/>
        <v>0</v>
      </c>
      <c r="Q278" s="35"/>
      <c r="R278" s="33"/>
      <c r="S278" s="43"/>
      <c r="T278" s="19"/>
      <c r="U278" s="27">
        <f t="shared" si="162"/>
        <v>22364.891625135613</v>
      </c>
      <c r="V278" s="28">
        <f t="shared" si="162"/>
        <v>14170.417787998469</v>
      </c>
    </row>
    <row r="279" spans="1:22" hidden="1" outlineLevel="1" x14ac:dyDescent="0.25">
      <c r="A279" s="18"/>
      <c r="B279" s="38">
        <f t="shared" si="163"/>
        <v>16</v>
      </c>
      <c r="C279" s="54">
        <f t="shared" si="156"/>
        <v>137.03596450617863</v>
      </c>
      <c r="D279" s="33">
        <f>C279*VLOOKUP($A$264,Ταρίφες!$A$6:$G$23,$K$6,FALSE)*(1+$F$3)^(B279-1)</f>
        <v>39055.249884260913</v>
      </c>
      <c r="E279" s="33">
        <f>C279*VLOOKUP($A$264,Ταρίφες!$A$6:$G$23,$K$7,FALSE)*(1+$F$3)^(B279-1)</f>
        <v>28092.372723766621</v>
      </c>
      <c r="F279" s="46">
        <f t="shared" si="152"/>
        <v>-2422.5630089834326</v>
      </c>
      <c r="G279" s="47">
        <f t="shared" si="153"/>
        <v>-1345.8683383241291</v>
      </c>
      <c r="H279" s="47">
        <f t="shared" si="154"/>
        <v>-1615.042005988955</v>
      </c>
      <c r="I279" s="46">
        <f t="shared" si="155"/>
        <v>-6056.4075224585813</v>
      </c>
      <c r="J279" s="47">
        <f t="shared" si="157"/>
        <v>-5660</v>
      </c>
      <c r="K279" s="47">
        <f t="shared" si="158"/>
        <v>-5708.3959422115122</v>
      </c>
      <c r="L279" s="47">
        <f t="shared" si="159"/>
        <v>-2858.0478804829959</v>
      </c>
      <c r="M279" s="47">
        <f t="shared" si="160"/>
        <v>21906.973066294304</v>
      </c>
      <c r="N279" s="47">
        <f t="shared" si="161"/>
        <v>13794.443967528527</v>
      </c>
      <c r="O279" s="34"/>
      <c r="P279" s="36">
        <f t="shared" si="151"/>
        <v>0</v>
      </c>
      <c r="Q279" s="35"/>
      <c r="R279" s="33"/>
      <c r="S279" s="43"/>
      <c r="T279" s="19"/>
      <c r="U279" s="27">
        <f t="shared" si="162"/>
        <v>21906.973066294304</v>
      </c>
      <c r="V279" s="28">
        <f t="shared" si="162"/>
        <v>13794.443967528527</v>
      </c>
    </row>
    <row r="280" spans="1:22" hidden="1" outlineLevel="1" x14ac:dyDescent="0.25">
      <c r="A280" s="18"/>
      <c r="B280" s="38">
        <f t="shared" si="163"/>
        <v>17</v>
      </c>
      <c r="C280" s="54">
        <f t="shared" si="156"/>
        <v>135.66560486111683</v>
      </c>
      <c r="D280" s="33">
        <f>C280*VLOOKUP($A$264,Ταρίφες!$A$6:$G$23,$K$6,FALSE)*(1+$F$3)^(B280-1)</f>
        <v>38664.697385418294</v>
      </c>
      <c r="E280" s="33">
        <f>C280*VLOOKUP($A$264,Ταρίφες!$A$6:$G$23,$K$7,FALSE)*(1+$F$3)^(B280-1)</f>
        <v>27811.44899652895</v>
      </c>
      <c r="F280" s="46">
        <f t="shared" si="152"/>
        <v>-2471.0142691631017</v>
      </c>
      <c r="G280" s="47">
        <f t="shared" si="153"/>
        <v>-1372.7857050906121</v>
      </c>
      <c r="H280" s="47">
        <f t="shared" si="154"/>
        <v>-1647.3428461087344</v>
      </c>
      <c r="I280" s="46">
        <f t="shared" si="155"/>
        <v>-6177.5356729077539</v>
      </c>
      <c r="J280" s="47">
        <f t="shared" si="157"/>
        <v>-5660</v>
      </c>
      <c r="K280" s="47">
        <f t="shared" si="158"/>
        <v>-5547.3649119585043</v>
      </c>
      <c r="L280" s="47">
        <f t="shared" si="159"/>
        <v>-2725.5203308472742</v>
      </c>
      <c r="M280" s="47">
        <f t="shared" si="160"/>
        <v>21448.653980189585</v>
      </c>
      <c r="N280" s="47">
        <f t="shared" si="161"/>
        <v>13417.250172411474</v>
      </c>
      <c r="O280" s="34"/>
      <c r="P280" s="36">
        <f t="shared" si="151"/>
        <v>0</v>
      </c>
      <c r="Q280" s="35"/>
      <c r="R280" s="33"/>
      <c r="S280" s="43"/>
      <c r="T280" s="19"/>
      <c r="U280" s="27">
        <f t="shared" si="162"/>
        <v>21448.653980189585</v>
      </c>
      <c r="V280" s="28">
        <f t="shared" si="162"/>
        <v>13417.250172411474</v>
      </c>
    </row>
    <row r="281" spans="1:22" hidden="1" outlineLevel="1" x14ac:dyDescent="0.25">
      <c r="A281" s="18"/>
      <c r="B281" s="38">
        <f t="shared" si="163"/>
        <v>18</v>
      </c>
      <c r="C281" s="54">
        <f t="shared" si="156"/>
        <v>134.30894881250566</v>
      </c>
      <c r="D281" s="33">
        <f>C281*VLOOKUP($A$264,Ταρίφες!$A$6:$G$23,$K$6,FALSE)*(1+$F$3)^(B281-1)</f>
        <v>38278.050411564116</v>
      </c>
      <c r="E281" s="33">
        <f>C281*VLOOKUP($A$264,Ταρίφες!$A$6:$G$23,$K$7,FALSE)*(1+$F$3)^(B281-1)</f>
        <v>27533.33450656366</v>
      </c>
      <c r="F281" s="46">
        <f t="shared" si="152"/>
        <v>-2520.4345545463639</v>
      </c>
      <c r="G281" s="47">
        <f t="shared" si="153"/>
        <v>-1400.2414191924245</v>
      </c>
      <c r="H281" s="47">
        <f t="shared" si="154"/>
        <v>-1680.2897030309093</v>
      </c>
      <c r="I281" s="46">
        <f t="shared" si="155"/>
        <v>-6301.0863863659097</v>
      </c>
      <c r="J281" s="47">
        <f t="shared" si="157"/>
        <v>-5660</v>
      </c>
      <c r="K281" s="47">
        <f t="shared" si="158"/>
        <v>-5386.1595705914124</v>
      </c>
      <c r="L281" s="47">
        <f t="shared" si="159"/>
        <v>-2592.5334352912937</v>
      </c>
      <c r="M281" s="47">
        <f t="shared" si="160"/>
        <v>20989.838777837096</v>
      </c>
      <c r="N281" s="47">
        <f t="shared" si="161"/>
        <v>13038.749008136758</v>
      </c>
      <c r="O281" s="34"/>
      <c r="P281" s="36">
        <f t="shared" si="151"/>
        <v>0</v>
      </c>
      <c r="Q281" s="35"/>
      <c r="R281" s="33"/>
      <c r="S281" s="43"/>
      <c r="T281" s="19"/>
      <c r="U281" s="27">
        <f t="shared" si="162"/>
        <v>20989.838777837096</v>
      </c>
      <c r="V281" s="28">
        <f t="shared" si="162"/>
        <v>13038.749008136758</v>
      </c>
    </row>
    <row r="282" spans="1:22" hidden="1" outlineLevel="1" x14ac:dyDescent="0.25">
      <c r="A282" s="18"/>
      <c r="B282" s="38">
        <f t="shared" si="163"/>
        <v>19</v>
      </c>
      <c r="C282" s="54">
        <f t="shared" si="156"/>
        <v>132.9658593243806</v>
      </c>
      <c r="D282" s="33">
        <f>C282*VLOOKUP($A$264,Ταρίφες!$A$6:$G$23,$K$6,FALSE)*(1+$F$3)^(B282-1)</f>
        <v>37895.26990744847</v>
      </c>
      <c r="E282" s="33">
        <f>C282*VLOOKUP($A$264,Ταρίφες!$A$6:$G$23,$K$7,FALSE)*(1+$F$3)^(B282-1)</f>
        <v>27258.001161498025</v>
      </c>
      <c r="F282" s="46">
        <f t="shared" si="152"/>
        <v>-2570.8432456372907</v>
      </c>
      <c r="G282" s="47">
        <f t="shared" si="153"/>
        <v>-1428.2462475762727</v>
      </c>
      <c r="H282" s="47">
        <f t="shared" si="154"/>
        <v>-1713.8954970915272</v>
      </c>
      <c r="I282" s="46">
        <f t="shared" si="155"/>
        <v>-6427.1081140932274</v>
      </c>
      <c r="J282" s="47">
        <f t="shared" si="157"/>
        <v>-5660</v>
      </c>
      <c r="K282" s="47">
        <f t="shared" si="158"/>
        <v>-5224.7459687930395</v>
      </c>
      <c r="L282" s="47">
        <f t="shared" si="159"/>
        <v>-2459.0560948459238</v>
      </c>
      <c r="M282" s="47">
        <f t="shared" si="160"/>
        <v>20530.430834257113</v>
      </c>
      <c r="N282" s="47">
        <f t="shared" si="161"/>
        <v>12658.851962253782</v>
      </c>
      <c r="O282" s="34"/>
      <c r="P282" s="36">
        <f t="shared" si="151"/>
        <v>0</v>
      </c>
      <c r="Q282" s="35"/>
      <c r="R282" s="33"/>
      <c r="S282" s="43"/>
      <c r="T282" s="19"/>
      <c r="U282" s="27">
        <f t="shared" si="162"/>
        <v>20530.430834257113</v>
      </c>
      <c r="V282" s="28">
        <f t="shared" si="162"/>
        <v>12658.851962253782</v>
      </c>
    </row>
    <row r="283" spans="1:22" hidden="1" outlineLevel="1" x14ac:dyDescent="0.25">
      <c r="A283" s="18"/>
      <c r="B283" s="38">
        <f>B282+1</f>
        <v>20</v>
      </c>
      <c r="C283" s="54">
        <f>C282*(1-$F$2)</f>
        <v>131.6362007311368</v>
      </c>
      <c r="D283" s="33">
        <f>C283*VLOOKUP($A$264,Ταρίφες!$A$6:$G$23,$K$6,FALSE)*(1+$F$3)^(B283-1)</f>
        <v>37516.317208373985</v>
      </c>
      <c r="E283" s="33">
        <f>C283*VLOOKUP($A$264,Ταρίφες!$A$6:$G$23,$K$7,FALSE)*(1+$F$3)^(B283-1)</f>
        <v>26985.421149883045</v>
      </c>
      <c r="F283" s="46">
        <f t="shared" si="152"/>
        <v>-2622.2601105500366</v>
      </c>
      <c r="G283" s="47">
        <f t="shared" si="153"/>
        <v>-1456.8111725277981</v>
      </c>
      <c r="H283" s="47">
        <f>-$K$4*(1+$F$4)^(B283-$B$12)</f>
        <v>-1748.1734070333578</v>
      </c>
      <c r="I283" s="46">
        <f>-(4500*(1+$F$4)^(B283-$B$12))</f>
        <v>-6555.6502763750914</v>
      </c>
      <c r="J283" s="47">
        <f t="shared" si="157"/>
        <v>-5660</v>
      </c>
      <c r="K283" s="47">
        <f>-(D283+SUM(F283:J283))*$F$5</f>
        <v>-5063.0897828908019</v>
      </c>
      <c r="L283" s="47">
        <f>-(E283+SUM(F283:J283))*$F$5</f>
        <v>-2325.0568076831578</v>
      </c>
      <c r="M283" s="47">
        <f>D283+SUM(F283:I283)+K283</f>
        <v>20070.332458996898</v>
      </c>
      <c r="N283" s="47">
        <f>E283+SUM(F283:I283)+L283</f>
        <v>12277.469375713601</v>
      </c>
      <c r="O283" s="34"/>
      <c r="P283" s="36">
        <f t="shared" si="151"/>
        <v>0</v>
      </c>
      <c r="Q283" s="35"/>
      <c r="R283" s="33"/>
      <c r="S283" s="43"/>
      <c r="T283" s="19"/>
      <c r="U283" s="27">
        <f>M283</f>
        <v>20070.332458996898</v>
      </c>
      <c r="V283" s="28">
        <f>N283</f>
        <v>12277.469375713601</v>
      </c>
    </row>
    <row r="284" spans="1:22" s="40" customFormat="1" hidden="1" outlineLevel="1" x14ac:dyDescent="0.25">
      <c r="O284" s="17"/>
      <c r="P284" s="36">
        <f t="shared" si="151"/>
        <v>0</v>
      </c>
      <c r="Q284" s="25"/>
      <c r="R284" s="22"/>
      <c r="S284" s="52"/>
      <c r="T284" s="44"/>
      <c r="U284" s="74">
        <f>O285</f>
        <v>-144500</v>
      </c>
      <c r="V284" s="74">
        <f>R285</f>
        <v>-104331.3982944848</v>
      </c>
    </row>
    <row r="285" spans="1:22" collapsed="1" x14ac:dyDescent="0.25">
      <c r="A285" s="32" t="str">
        <f>Ταρίφες!A23</f>
        <v>Β Τριμ. 2013</v>
      </c>
      <c r="B285" s="38">
        <f>1</f>
        <v>1</v>
      </c>
      <c r="C285" s="54">
        <f>$F$8*$K$2/1000</f>
        <v>159.33333333333331</v>
      </c>
      <c r="D285" s="33">
        <f>C285*VLOOKUP($A$285,Ταρίφες!$A$6:$G$23,$K$6,FALSE)*(1+$F$3)^(B285-1)</f>
        <v>43019.999999999993</v>
      </c>
      <c r="E285" s="33">
        <f>C285*VLOOKUP($A$285,Ταρίφες!$A$6:$G$23,$K$7,FALSE)*(1+$F$3)^(B285-1)</f>
        <v>31069.999999999996</v>
      </c>
      <c r="F285" s="46">
        <f t="shared" ref="F285:F304" si="164">-($K$5*(1+$F$4)^(B285-$B$12))</f>
        <v>-1800</v>
      </c>
      <c r="G285" s="47">
        <f t="shared" ref="G285:G304" si="165">-$K$2*10*(1+$F$4)^(B285-$B$12)</f>
        <v>-1000</v>
      </c>
      <c r="H285" s="47">
        <f t="shared" ref="H285:H303" si="166">-$K$4*(1+$F$4)^(B285-$B$12)</f>
        <v>-1200</v>
      </c>
      <c r="I285" s="46">
        <f t="shared" ref="I285:I303" si="167">-(4500*(1+$F$4)^(B285-$B$12))</f>
        <v>-4500</v>
      </c>
      <c r="J285" s="47">
        <f>$O$285*4%</f>
        <v>-5780</v>
      </c>
      <c r="K285" s="47">
        <f>-(D285+SUM(F285:J285))*$F$5</f>
        <v>-7472.3999999999987</v>
      </c>
      <c r="L285" s="47">
        <f>-(E285+SUM(F285:J285))*$F$5</f>
        <v>-4365.3999999999996</v>
      </c>
      <c r="M285" s="47">
        <f>D285+SUM(F285:I285)+K285</f>
        <v>27047.599999999995</v>
      </c>
      <c r="N285" s="47">
        <f>E285+SUM(F285:I285)+L285</f>
        <v>18204.599999999999</v>
      </c>
      <c r="O285" s="35">
        <f>-VLOOKUP(A285,'Κόστος Κατασκευής'!$A$4:$Q$17,$K$8,FALSE)</f>
        <v>-144500</v>
      </c>
      <c r="P285" s="36">
        <f t="shared" si="151"/>
        <v>57800</v>
      </c>
      <c r="Q285" s="36">
        <f>Q264*15/16</f>
        <v>-17631.398294484788</v>
      </c>
      <c r="R285" s="37">
        <f>SUM(O285:Q285)</f>
        <v>-104331.3982944848</v>
      </c>
      <c r="S285" s="42">
        <f>IRR(U284:U304)</f>
        <v>0.16320404192389404</v>
      </c>
      <c r="T285" s="42">
        <f>IRR(V284:V304)</f>
        <v>0.14546687827811833</v>
      </c>
      <c r="U285" s="27">
        <f>M285</f>
        <v>27047.599999999995</v>
      </c>
      <c r="V285" s="28">
        <f>N285</f>
        <v>18204.599999999999</v>
      </c>
    </row>
    <row r="286" spans="1:22" hidden="1" outlineLevel="1" x14ac:dyDescent="0.25">
      <c r="A286" s="18"/>
      <c r="B286" s="38">
        <f>B285+1</f>
        <v>2</v>
      </c>
      <c r="C286" s="54">
        <f t="shared" ref="C286:C303" si="168">C285*(1-$F$2)</f>
        <v>157.73999999999998</v>
      </c>
      <c r="D286" s="33">
        <f>C286*VLOOKUP($A$285,Ταρίφες!$A$6:$G$23,$K$6,FALSE)*(1+$F$3)^(B286-1)</f>
        <v>42589.799999999996</v>
      </c>
      <c r="E286" s="33">
        <f>C286*VLOOKUP($A$285,Ταρίφες!$A$6:$G$23,$K$7,FALSE)*(1+$F$3)^(B286-1)</f>
        <v>30759.299999999996</v>
      </c>
      <c r="F286" s="46">
        <f t="shared" si="164"/>
        <v>-1836</v>
      </c>
      <c r="G286" s="47">
        <f t="shared" si="165"/>
        <v>-1020</v>
      </c>
      <c r="H286" s="47">
        <f t="shared" si="166"/>
        <v>-1224</v>
      </c>
      <c r="I286" s="46">
        <f t="shared" si="167"/>
        <v>-4590</v>
      </c>
      <c r="J286" s="47">
        <f t="shared" ref="J286:J304" si="169">$O$285*4%</f>
        <v>-5780</v>
      </c>
      <c r="K286" s="47">
        <f t="shared" ref="K286:K303" si="170">-(D286+SUM(F286:J286))*$F$5</f>
        <v>-7316.347999999999</v>
      </c>
      <c r="L286" s="47">
        <f t="shared" ref="L286:L303" si="171">-(E286+SUM(F286:J286))*$F$5</f>
        <v>-4240.4179999999988</v>
      </c>
      <c r="M286" s="47">
        <f t="shared" ref="M286:M303" si="172">D286+SUM(F286:I286)+K286</f>
        <v>26603.451999999997</v>
      </c>
      <c r="N286" s="47">
        <f t="shared" ref="N286:N303" si="173">E286+SUM(F286:I286)+L286</f>
        <v>17848.881999999998</v>
      </c>
      <c r="O286" s="34"/>
      <c r="P286" s="35"/>
      <c r="Q286" s="35"/>
      <c r="R286" s="33"/>
      <c r="S286" s="43"/>
      <c r="T286" s="19"/>
      <c r="U286" s="27">
        <f t="shared" ref="U286:V303" si="174">M286</f>
        <v>26603.451999999997</v>
      </c>
      <c r="V286" s="28">
        <f t="shared" si="174"/>
        <v>17848.881999999998</v>
      </c>
    </row>
    <row r="287" spans="1:22" hidden="1" outlineLevel="1" x14ac:dyDescent="0.25">
      <c r="A287" s="18"/>
      <c r="B287" s="38">
        <f t="shared" ref="B287:B303" si="175">B286+1</f>
        <v>3</v>
      </c>
      <c r="C287" s="54">
        <f t="shared" si="168"/>
        <v>156.16259999999997</v>
      </c>
      <c r="D287" s="33">
        <f>C287*VLOOKUP($A$285,Ταρίφες!$A$6:$G$23,$K$6,FALSE)*(1+$F$3)^(B287-1)</f>
        <v>42163.901999999995</v>
      </c>
      <c r="E287" s="33">
        <f>C287*VLOOKUP($A$285,Ταρίφες!$A$6:$G$23,$K$7,FALSE)*(1+$F$3)^(B287-1)</f>
        <v>30451.706999999995</v>
      </c>
      <c r="F287" s="46">
        <f t="shared" si="164"/>
        <v>-1872.72</v>
      </c>
      <c r="G287" s="47">
        <f t="shared" si="165"/>
        <v>-1040.4000000000001</v>
      </c>
      <c r="H287" s="47">
        <f t="shared" si="166"/>
        <v>-1248.48</v>
      </c>
      <c r="I287" s="46">
        <f t="shared" si="167"/>
        <v>-4681.8</v>
      </c>
      <c r="J287" s="47">
        <f t="shared" si="169"/>
        <v>-5780</v>
      </c>
      <c r="K287" s="47">
        <f t="shared" si="170"/>
        <v>-7160.5305199999984</v>
      </c>
      <c r="L287" s="47">
        <f t="shared" si="171"/>
        <v>-4115.3598199999988</v>
      </c>
      <c r="M287" s="47">
        <f t="shared" si="172"/>
        <v>26159.971479999993</v>
      </c>
      <c r="N287" s="47">
        <f t="shared" si="173"/>
        <v>17492.947179999996</v>
      </c>
      <c r="O287" s="34"/>
      <c r="P287" s="35"/>
      <c r="Q287" s="35"/>
      <c r="R287" s="33"/>
      <c r="S287" s="43"/>
      <c r="T287" s="19"/>
      <c r="U287" s="27">
        <f t="shared" si="174"/>
        <v>26159.971479999993</v>
      </c>
      <c r="V287" s="28">
        <f t="shared" si="174"/>
        <v>17492.947179999996</v>
      </c>
    </row>
    <row r="288" spans="1:22" hidden="1" outlineLevel="1" x14ac:dyDescent="0.25">
      <c r="A288" s="18"/>
      <c r="B288" s="38">
        <f t="shared" si="175"/>
        <v>4</v>
      </c>
      <c r="C288" s="54">
        <f t="shared" si="168"/>
        <v>154.60097399999998</v>
      </c>
      <c r="D288" s="33">
        <f>C288*VLOOKUP($A$285,Ταρίφες!$A$6:$G$23,$K$6,FALSE)*(1+$F$3)^(B288-1)</f>
        <v>41742.262979999992</v>
      </c>
      <c r="E288" s="33">
        <f>C288*VLOOKUP($A$285,Ταρίφες!$A$6:$G$23,$K$7,FALSE)*(1+$F$3)^(B288-1)</f>
        <v>30147.189929999997</v>
      </c>
      <c r="F288" s="46">
        <f t="shared" si="164"/>
        <v>-1910.1743999999999</v>
      </c>
      <c r="G288" s="47">
        <f t="shared" si="165"/>
        <v>-1061.2079999999999</v>
      </c>
      <c r="H288" s="47">
        <f t="shared" si="166"/>
        <v>-1273.4495999999999</v>
      </c>
      <c r="I288" s="46">
        <f t="shared" si="167"/>
        <v>-4775.4359999999997</v>
      </c>
      <c r="J288" s="47">
        <f t="shared" si="169"/>
        <v>-5780</v>
      </c>
      <c r="K288" s="47">
        <f t="shared" si="170"/>
        <v>-7004.9186947999979</v>
      </c>
      <c r="L288" s="47">
        <f t="shared" si="171"/>
        <v>-3990.1997017999993</v>
      </c>
      <c r="M288" s="47">
        <f t="shared" si="172"/>
        <v>25717.076285199993</v>
      </c>
      <c r="N288" s="47">
        <f t="shared" si="173"/>
        <v>17136.722228199997</v>
      </c>
      <c r="O288" s="34"/>
      <c r="P288" s="35"/>
      <c r="Q288" s="35"/>
      <c r="R288" s="33"/>
      <c r="S288" s="43"/>
      <c r="T288" s="19"/>
      <c r="U288" s="27">
        <f t="shared" si="174"/>
        <v>25717.076285199993</v>
      </c>
      <c r="V288" s="28">
        <f t="shared" si="174"/>
        <v>17136.722228199997</v>
      </c>
    </row>
    <row r="289" spans="1:22" hidden="1" outlineLevel="1" x14ac:dyDescent="0.25">
      <c r="A289" s="18"/>
      <c r="B289" s="38">
        <f t="shared" si="175"/>
        <v>5</v>
      </c>
      <c r="C289" s="54">
        <f t="shared" si="168"/>
        <v>153.05496425999999</v>
      </c>
      <c r="D289" s="33">
        <f>C289*VLOOKUP($A$285,Ταρίφες!$A$6:$G$23,$K$6,FALSE)*(1+$F$3)^(B289-1)</f>
        <v>41324.8403502</v>
      </c>
      <c r="E289" s="33">
        <f>C289*VLOOKUP($A$285,Ταρίφες!$A$6:$G$23,$K$7,FALSE)*(1+$F$3)^(B289-1)</f>
        <v>29845.718030699998</v>
      </c>
      <c r="F289" s="46">
        <f t="shared" si="164"/>
        <v>-1948.377888</v>
      </c>
      <c r="G289" s="47">
        <f t="shared" si="165"/>
        <v>-1082.4321600000001</v>
      </c>
      <c r="H289" s="47">
        <f t="shared" si="166"/>
        <v>-1298.918592</v>
      </c>
      <c r="I289" s="46">
        <f t="shared" si="167"/>
        <v>-4870.9447199999995</v>
      </c>
      <c r="J289" s="47">
        <f t="shared" si="169"/>
        <v>-5780</v>
      </c>
      <c r="K289" s="47">
        <f t="shared" si="170"/>
        <v>-6849.4834174520001</v>
      </c>
      <c r="L289" s="47">
        <f t="shared" si="171"/>
        <v>-3864.9116143819992</v>
      </c>
      <c r="M289" s="47">
        <f t="shared" si="172"/>
        <v>25274.683572747999</v>
      </c>
      <c r="N289" s="47">
        <f t="shared" si="173"/>
        <v>16780.133056317998</v>
      </c>
      <c r="O289" s="34"/>
      <c r="P289" s="35"/>
      <c r="Q289" s="35"/>
      <c r="R289" s="33"/>
      <c r="S289" s="43"/>
      <c r="T289" s="19"/>
      <c r="U289" s="27">
        <f t="shared" si="174"/>
        <v>25274.683572747999</v>
      </c>
      <c r="V289" s="28">
        <f t="shared" si="174"/>
        <v>16780.133056317998</v>
      </c>
    </row>
    <row r="290" spans="1:22" hidden="1" outlineLevel="1" x14ac:dyDescent="0.25">
      <c r="A290" s="18"/>
      <c r="B290" s="38">
        <f t="shared" si="175"/>
        <v>6</v>
      </c>
      <c r="C290" s="54">
        <f t="shared" si="168"/>
        <v>151.5244146174</v>
      </c>
      <c r="D290" s="33">
        <f>C290*VLOOKUP($A$285,Ταρίφες!$A$6:$G$23,$K$6,FALSE)*(1+$F$3)^(B290-1)</f>
        <v>40911.591946697998</v>
      </c>
      <c r="E290" s="33">
        <f>C290*VLOOKUP($A$285,Ταρίφες!$A$6:$G$23,$K$7,FALSE)*(1+$F$3)^(B290-1)</f>
        <v>29547.260850392999</v>
      </c>
      <c r="F290" s="46">
        <f t="shared" si="164"/>
        <v>-1987.3454457600001</v>
      </c>
      <c r="G290" s="47">
        <f t="shared" si="165"/>
        <v>-1104.0808032</v>
      </c>
      <c r="H290" s="47">
        <f t="shared" si="166"/>
        <v>-1324.8969638400001</v>
      </c>
      <c r="I290" s="46">
        <f t="shared" si="167"/>
        <v>-4968.3636144000002</v>
      </c>
      <c r="J290" s="47">
        <f t="shared" si="169"/>
        <v>-5780</v>
      </c>
      <c r="K290" s="47">
        <f t="shared" si="170"/>
        <v>-6694.1953310694798</v>
      </c>
      <c r="L290" s="47">
        <f t="shared" si="171"/>
        <v>-3739.4692460301799</v>
      </c>
      <c r="M290" s="47">
        <f t="shared" si="172"/>
        <v>24832.709788428518</v>
      </c>
      <c r="N290" s="47">
        <f t="shared" si="173"/>
        <v>16423.104777162818</v>
      </c>
      <c r="O290" s="34"/>
      <c r="P290" s="35"/>
      <c r="Q290" s="35"/>
      <c r="R290" s="33"/>
      <c r="S290" s="43"/>
      <c r="T290" s="19"/>
      <c r="U290" s="27">
        <f t="shared" si="174"/>
        <v>24832.709788428518</v>
      </c>
      <c r="V290" s="28">
        <f t="shared" si="174"/>
        <v>16423.104777162818</v>
      </c>
    </row>
    <row r="291" spans="1:22" hidden="1" outlineLevel="1" x14ac:dyDescent="0.25">
      <c r="A291" s="18"/>
      <c r="B291" s="38">
        <f t="shared" si="175"/>
        <v>7</v>
      </c>
      <c r="C291" s="54">
        <f t="shared" si="168"/>
        <v>150.00917047122599</v>
      </c>
      <c r="D291" s="33">
        <f>C291*VLOOKUP($A$285,Ταρίφες!$A$6:$G$23,$K$6,FALSE)*(1+$F$3)^(B291-1)</f>
        <v>40502.476027231016</v>
      </c>
      <c r="E291" s="33">
        <f>C291*VLOOKUP($A$285,Ταρίφες!$A$6:$G$23,$K$7,FALSE)*(1+$F$3)^(B291-1)</f>
        <v>29251.788241889066</v>
      </c>
      <c r="F291" s="46">
        <f t="shared" si="164"/>
        <v>-2027.0923546752001</v>
      </c>
      <c r="G291" s="47">
        <f t="shared" si="165"/>
        <v>-1126.1624192640002</v>
      </c>
      <c r="H291" s="47">
        <f t="shared" si="166"/>
        <v>-1351.3949031168002</v>
      </c>
      <c r="I291" s="46">
        <f t="shared" si="167"/>
        <v>-5067.7308866880003</v>
      </c>
      <c r="J291" s="47">
        <f t="shared" si="169"/>
        <v>-5780</v>
      </c>
      <c r="K291" s="47">
        <f t="shared" si="170"/>
        <v>-6539.0248205066237</v>
      </c>
      <c r="L291" s="47">
        <f t="shared" si="171"/>
        <v>-3613.845996317717</v>
      </c>
      <c r="M291" s="47">
        <f t="shared" si="172"/>
        <v>24391.07064298039</v>
      </c>
      <c r="N291" s="47">
        <f t="shared" si="173"/>
        <v>16065.561681827347</v>
      </c>
      <c r="O291" s="34"/>
      <c r="P291" s="35"/>
      <c r="Q291" s="35"/>
      <c r="R291" s="33"/>
      <c r="S291" s="43"/>
      <c r="T291" s="19"/>
      <c r="U291" s="27">
        <f t="shared" si="174"/>
        <v>24391.07064298039</v>
      </c>
      <c r="V291" s="28">
        <f t="shared" si="174"/>
        <v>16065.561681827347</v>
      </c>
    </row>
    <row r="292" spans="1:22" hidden="1" outlineLevel="1" x14ac:dyDescent="0.25">
      <c r="A292" s="18"/>
      <c r="B292" s="38">
        <f t="shared" si="175"/>
        <v>8</v>
      </c>
      <c r="C292" s="54">
        <f t="shared" si="168"/>
        <v>148.50907876651374</v>
      </c>
      <c r="D292" s="33">
        <f>C292*VLOOKUP($A$285,Ταρίφες!$A$6:$G$23,$K$6,FALSE)*(1+$F$3)^(B292-1)</f>
        <v>40097.451266958713</v>
      </c>
      <c r="E292" s="33">
        <f>C292*VLOOKUP($A$285,Ταρίφες!$A$6:$G$23,$K$7,FALSE)*(1+$F$3)^(B292-1)</f>
        <v>28959.270359470178</v>
      </c>
      <c r="F292" s="46">
        <f t="shared" si="164"/>
        <v>-2067.6342017687039</v>
      </c>
      <c r="G292" s="47">
        <f t="shared" si="165"/>
        <v>-1148.6856676492798</v>
      </c>
      <c r="H292" s="47">
        <f t="shared" si="166"/>
        <v>-1378.4228011791358</v>
      </c>
      <c r="I292" s="46">
        <f t="shared" si="167"/>
        <v>-5169.0855044217587</v>
      </c>
      <c r="J292" s="47">
        <f t="shared" si="169"/>
        <v>-5780</v>
      </c>
      <c r="K292" s="47">
        <f t="shared" si="170"/>
        <v>-6383.942003904358</v>
      </c>
      <c r="L292" s="47">
        <f t="shared" si="171"/>
        <v>-3488.0149679573383</v>
      </c>
      <c r="M292" s="47">
        <f t="shared" si="172"/>
        <v>23949.681088035479</v>
      </c>
      <c r="N292" s="47">
        <f t="shared" si="173"/>
        <v>15707.427216493959</v>
      </c>
      <c r="O292" s="34"/>
      <c r="P292" s="35"/>
      <c r="Q292" s="35"/>
      <c r="R292" s="33"/>
      <c r="S292" s="43"/>
      <c r="T292" s="19"/>
      <c r="U292" s="27">
        <f t="shared" si="174"/>
        <v>23949.681088035479</v>
      </c>
      <c r="V292" s="28">
        <f t="shared" si="174"/>
        <v>15707.427216493959</v>
      </c>
    </row>
    <row r="293" spans="1:22" hidden="1" outlineLevel="1" x14ac:dyDescent="0.25">
      <c r="A293" s="18"/>
      <c r="B293" s="38">
        <f t="shared" si="175"/>
        <v>9</v>
      </c>
      <c r="C293" s="54">
        <f t="shared" si="168"/>
        <v>147.0239879788486</v>
      </c>
      <c r="D293" s="33">
        <f>C293*VLOOKUP($A$285,Ταρίφες!$A$6:$G$23,$K$6,FALSE)*(1+$F$3)^(B293-1)</f>
        <v>39696.47675428912</v>
      </c>
      <c r="E293" s="33">
        <f>C293*VLOOKUP($A$285,Ταρίφες!$A$6:$G$23,$K$7,FALSE)*(1+$F$3)^(B293-1)</f>
        <v>28669.677655875475</v>
      </c>
      <c r="F293" s="46">
        <f t="shared" si="164"/>
        <v>-2108.9868858040782</v>
      </c>
      <c r="G293" s="47">
        <f t="shared" si="165"/>
        <v>-1171.6593810022655</v>
      </c>
      <c r="H293" s="47">
        <f t="shared" si="166"/>
        <v>-1405.9912572027185</v>
      </c>
      <c r="I293" s="46">
        <f t="shared" si="167"/>
        <v>-5272.4672145101949</v>
      </c>
      <c r="J293" s="47">
        <f t="shared" si="169"/>
        <v>-5780</v>
      </c>
      <c r="K293" s="47">
        <f t="shared" si="170"/>
        <v>-6228.9167241001642</v>
      </c>
      <c r="L293" s="47">
        <f t="shared" si="171"/>
        <v>-3361.9489585126166</v>
      </c>
      <c r="M293" s="47">
        <f t="shared" si="172"/>
        <v>23508.455291669699</v>
      </c>
      <c r="N293" s="47">
        <f t="shared" si="173"/>
        <v>15348.6239588436</v>
      </c>
      <c r="O293" s="34"/>
      <c r="P293" s="35"/>
      <c r="Q293" s="35"/>
      <c r="R293" s="33"/>
      <c r="S293" s="43"/>
      <c r="T293" s="19"/>
      <c r="U293" s="27">
        <f t="shared" si="174"/>
        <v>23508.455291669699</v>
      </c>
      <c r="V293" s="28">
        <f t="shared" si="174"/>
        <v>15348.6239588436</v>
      </c>
    </row>
    <row r="294" spans="1:22" hidden="1" outlineLevel="1" x14ac:dyDescent="0.25">
      <c r="A294" s="18"/>
      <c r="B294" s="38">
        <f t="shared" si="175"/>
        <v>10</v>
      </c>
      <c r="C294" s="54">
        <f t="shared" si="168"/>
        <v>145.5537480990601</v>
      </c>
      <c r="D294" s="33">
        <f>C294*VLOOKUP($A$285,Ταρίφες!$A$6:$G$23,$K$6,FALSE)*(1+$F$3)^(B294-1)</f>
        <v>39299.511986746227</v>
      </c>
      <c r="E294" s="33">
        <f>C294*VLOOKUP($A$285,Ταρίφες!$A$6:$G$23,$K$7,FALSE)*(1+$F$3)^(B294-1)</f>
        <v>28382.980879316721</v>
      </c>
      <c r="F294" s="46">
        <f t="shared" si="164"/>
        <v>-2151.1666235201596</v>
      </c>
      <c r="G294" s="47">
        <f t="shared" si="165"/>
        <v>-1195.0925686223109</v>
      </c>
      <c r="H294" s="47">
        <f t="shared" si="166"/>
        <v>-1434.1110823467729</v>
      </c>
      <c r="I294" s="46">
        <f t="shared" si="167"/>
        <v>-5377.9165588003989</v>
      </c>
      <c r="J294" s="47">
        <f t="shared" si="169"/>
        <v>-5780</v>
      </c>
      <c r="K294" s="47">
        <f t="shared" si="170"/>
        <v>-6073.918539898712</v>
      </c>
      <c r="L294" s="47">
        <f t="shared" si="171"/>
        <v>-3235.6204519670405</v>
      </c>
      <c r="M294" s="47">
        <f t="shared" si="172"/>
        <v>23067.30661355787</v>
      </c>
      <c r="N294" s="47">
        <f t="shared" si="173"/>
        <v>14989.073594060037</v>
      </c>
      <c r="O294" s="34"/>
      <c r="P294" s="35"/>
      <c r="Q294" s="35"/>
      <c r="R294" s="33"/>
      <c r="S294" s="43"/>
      <c r="T294" s="19"/>
      <c r="U294" s="27">
        <f t="shared" si="174"/>
        <v>23067.30661355787</v>
      </c>
      <c r="V294" s="28">
        <f t="shared" si="174"/>
        <v>14989.073594060037</v>
      </c>
    </row>
    <row r="295" spans="1:22" hidden="1" outlineLevel="1" x14ac:dyDescent="0.25">
      <c r="A295" s="18"/>
      <c r="B295" s="38">
        <f t="shared" si="175"/>
        <v>11</v>
      </c>
      <c r="C295" s="54">
        <f t="shared" si="168"/>
        <v>144.09821061806949</v>
      </c>
      <c r="D295" s="33">
        <f>C295*VLOOKUP($A$285,Ταρίφες!$A$6:$G$23,$K$6,FALSE)*(1+$F$3)^(B295-1)</f>
        <v>38906.516866878759</v>
      </c>
      <c r="E295" s="33">
        <f>C295*VLOOKUP($A$285,Ταρίφες!$A$6:$G$23,$K$7,FALSE)*(1+$F$3)^(B295-1)</f>
        <v>28099.151070523549</v>
      </c>
      <c r="F295" s="46">
        <f t="shared" si="164"/>
        <v>-2194.1899559905628</v>
      </c>
      <c r="G295" s="47">
        <f t="shared" si="165"/>
        <v>-1218.9944199947572</v>
      </c>
      <c r="H295" s="47">
        <f t="shared" si="166"/>
        <v>-1462.7933039937086</v>
      </c>
      <c r="I295" s="46">
        <f t="shared" si="167"/>
        <v>-5485.4748899764072</v>
      </c>
      <c r="J295" s="47">
        <f t="shared" si="169"/>
        <v>-5780</v>
      </c>
      <c r="K295" s="47">
        <f t="shared" si="170"/>
        <v>-5918.9167172000643</v>
      </c>
      <c r="L295" s="47">
        <f t="shared" si="171"/>
        <v>-3109.0016101477095</v>
      </c>
      <c r="M295" s="47">
        <f t="shared" si="172"/>
        <v>22626.14757972326</v>
      </c>
      <c r="N295" s="47">
        <f t="shared" si="173"/>
        <v>14628.696890420404</v>
      </c>
      <c r="O295" s="34"/>
      <c r="P295" s="35"/>
      <c r="Q295" s="35"/>
      <c r="R295" s="33"/>
      <c r="S295" s="43"/>
      <c r="T295" s="19"/>
      <c r="U295" s="27">
        <f t="shared" si="174"/>
        <v>22626.14757972326</v>
      </c>
      <c r="V295" s="28">
        <f t="shared" si="174"/>
        <v>14628.696890420404</v>
      </c>
    </row>
    <row r="296" spans="1:22" hidden="1" outlineLevel="1" x14ac:dyDescent="0.25">
      <c r="A296" s="18"/>
      <c r="B296" s="38">
        <f t="shared" si="175"/>
        <v>12</v>
      </c>
      <c r="C296" s="54">
        <f t="shared" si="168"/>
        <v>142.6572285118888</v>
      </c>
      <c r="D296" s="33">
        <f>C296*VLOOKUP($A$285,Ταρίφες!$A$6:$G$23,$K$6,FALSE)*(1+$F$3)^(B296-1)</f>
        <v>38517.451698209974</v>
      </c>
      <c r="E296" s="33">
        <f>C296*VLOOKUP($A$285,Ταρίφες!$A$6:$G$23,$K$7,FALSE)*(1+$F$3)^(B296-1)</f>
        <v>27818.159559818316</v>
      </c>
      <c r="F296" s="46">
        <f t="shared" si="164"/>
        <v>-2238.0737551103734</v>
      </c>
      <c r="G296" s="47">
        <f t="shared" si="165"/>
        <v>-1243.374308394652</v>
      </c>
      <c r="H296" s="47">
        <f t="shared" si="166"/>
        <v>-1492.0491700735824</v>
      </c>
      <c r="I296" s="46">
        <f t="shared" si="167"/>
        <v>-5595.1843877759338</v>
      </c>
      <c r="J296" s="47">
        <f t="shared" si="169"/>
        <v>-5780</v>
      </c>
      <c r="K296" s="47">
        <f t="shared" si="170"/>
        <v>-5763.8802199824122</v>
      </c>
      <c r="L296" s="47">
        <f t="shared" si="171"/>
        <v>-2982.0642640005813</v>
      </c>
      <c r="M296" s="47">
        <f t="shared" si="172"/>
        <v>22184.889856873018</v>
      </c>
      <c r="N296" s="47">
        <f t="shared" si="173"/>
        <v>14267.413674463192</v>
      </c>
      <c r="O296" s="34"/>
      <c r="P296" s="35"/>
      <c r="Q296" s="35"/>
      <c r="R296" s="33"/>
      <c r="S296" s="43"/>
      <c r="T296" s="19"/>
      <c r="U296" s="27">
        <f t="shared" si="174"/>
        <v>22184.889856873018</v>
      </c>
      <c r="V296" s="28">
        <f t="shared" si="174"/>
        <v>14267.413674463192</v>
      </c>
    </row>
    <row r="297" spans="1:22" hidden="1" outlineLevel="1" x14ac:dyDescent="0.25">
      <c r="A297" s="18"/>
      <c r="B297" s="38">
        <f t="shared" si="175"/>
        <v>13</v>
      </c>
      <c r="C297" s="54">
        <f t="shared" si="168"/>
        <v>141.23065622676992</v>
      </c>
      <c r="D297" s="33">
        <f>C297*VLOOKUP($A$285,Ταρίφες!$A$6:$G$23,$K$6,FALSE)*(1+$F$3)^(B297-1)</f>
        <v>38132.277181227881</v>
      </c>
      <c r="E297" s="33">
        <f>C297*VLOOKUP($A$285,Ταρίφες!$A$6:$G$23,$K$7,FALSE)*(1+$F$3)^(B297-1)</f>
        <v>27539.977964220136</v>
      </c>
      <c r="F297" s="46">
        <f t="shared" si="164"/>
        <v>-2282.8352302125813</v>
      </c>
      <c r="G297" s="47">
        <f t="shared" si="165"/>
        <v>-1268.2417945625452</v>
      </c>
      <c r="H297" s="47">
        <f t="shared" si="166"/>
        <v>-1521.8901534750544</v>
      </c>
      <c r="I297" s="46">
        <f t="shared" si="167"/>
        <v>-5707.0880755314538</v>
      </c>
      <c r="J297" s="47">
        <f t="shared" si="169"/>
        <v>-5780</v>
      </c>
      <c r="K297" s="47">
        <f t="shared" si="170"/>
        <v>-5608.7777011360249</v>
      </c>
      <c r="L297" s="47">
        <f t="shared" si="171"/>
        <v>-2854.7799047140106</v>
      </c>
      <c r="M297" s="47">
        <f t="shared" si="172"/>
        <v>21743.444226310225</v>
      </c>
      <c r="N297" s="47">
        <f t="shared" si="173"/>
        <v>13905.142805724488</v>
      </c>
      <c r="O297" s="34"/>
      <c r="P297" s="35"/>
      <c r="Q297" s="35"/>
      <c r="R297" s="33"/>
      <c r="S297" s="43"/>
      <c r="T297" s="19"/>
      <c r="U297" s="27">
        <f t="shared" si="174"/>
        <v>21743.444226310225</v>
      </c>
      <c r="V297" s="28">
        <f t="shared" si="174"/>
        <v>13905.142805724488</v>
      </c>
    </row>
    <row r="298" spans="1:22" hidden="1" outlineLevel="1" x14ac:dyDescent="0.25">
      <c r="A298" s="18"/>
      <c r="B298" s="38">
        <f t="shared" si="175"/>
        <v>14</v>
      </c>
      <c r="C298" s="54">
        <f t="shared" si="168"/>
        <v>139.81834966450222</v>
      </c>
      <c r="D298" s="33">
        <f>C298*VLOOKUP($A$285,Ταρίφες!$A$6:$G$23,$K$6,FALSE)*(1+$F$3)^(B298-1)</f>
        <v>37750.954409415601</v>
      </c>
      <c r="E298" s="33">
        <f>C298*VLOOKUP($A$285,Ταρίφες!$A$6:$G$23,$K$7,FALSE)*(1+$F$3)^(B298-1)</f>
        <v>27264.578184577935</v>
      </c>
      <c r="F298" s="46">
        <f t="shared" si="164"/>
        <v>-2328.4919348168328</v>
      </c>
      <c r="G298" s="47">
        <f t="shared" si="165"/>
        <v>-1293.606630453796</v>
      </c>
      <c r="H298" s="47">
        <f t="shared" si="166"/>
        <v>-1552.3279565445553</v>
      </c>
      <c r="I298" s="46">
        <f t="shared" si="167"/>
        <v>-5821.2298370420822</v>
      </c>
      <c r="J298" s="47">
        <f t="shared" si="169"/>
        <v>-5780</v>
      </c>
      <c r="K298" s="47">
        <f t="shared" si="170"/>
        <v>-5453.577493145167</v>
      </c>
      <c r="L298" s="47">
        <f t="shared" si="171"/>
        <v>-2727.1196746873734</v>
      </c>
      <c r="M298" s="47">
        <f t="shared" si="172"/>
        <v>21301.720557413166</v>
      </c>
      <c r="N298" s="47">
        <f t="shared" si="173"/>
        <v>13541.802151033295</v>
      </c>
      <c r="O298" s="34"/>
      <c r="P298" s="35"/>
      <c r="Q298" s="35"/>
      <c r="R298" s="33"/>
      <c r="S298" s="43"/>
      <c r="T298" s="19"/>
      <c r="U298" s="27">
        <f t="shared" si="174"/>
        <v>21301.720557413166</v>
      </c>
      <c r="V298" s="28">
        <f t="shared" si="174"/>
        <v>13541.802151033295</v>
      </c>
    </row>
    <row r="299" spans="1:22" hidden="1" outlineLevel="1" x14ac:dyDescent="0.25">
      <c r="A299" s="18"/>
      <c r="B299" s="38">
        <f t="shared" si="175"/>
        <v>15</v>
      </c>
      <c r="C299" s="54">
        <f t="shared" si="168"/>
        <v>138.42016616785719</v>
      </c>
      <c r="D299" s="33">
        <f>C299*VLOOKUP($A$285,Ταρίφες!$A$6:$G$23,$K$6,FALSE)*(1+$F$3)^(B299-1)</f>
        <v>37373.444865321442</v>
      </c>
      <c r="E299" s="33">
        <f>C299*VLOOKUP($A$285,Ταρίφες!$A$6:$G$23,$K$7,FALSE)*(1+$F$3)^(B299-1)</f>
        <v>26991.932402732153</v>
      </c>
      <c r="F299" s="46">
        <f t="shared" si="164"/>
        <v>-2375.06177351317</v>
      </c>
      <c r="G299" s="47">
        <f t="shared" si="165"/>
        <v>-1319.4787630628721</v>
      </c>
      <c r="H299" s="47">
        <f t="shared" si="166"/>
        <v>-1583.3745156754467</v>
      </c>
      <c r="I299" s="46">
        <f t="shared" si="167"/>
        <v>-5937.6544337829246</v>
      </c>
      <c r="J299" s="47">
        <f t="shared" si="169"/>
        <v>-5780</v>
      </c>
      <c r="K299" s="47">
        <f t="shared" si="170"/>
        <v>-5298.2475986146283</v>
      </c>
      <c r="L299" s="47">
        <f t="shared" si="171"/>
        <v>-2599.0543583414128</v>
      </c>
      <c r="M299" s="47">
        <f t="shared" si="172"/>
        <v>20859.627780672403</v>
      </c>
      <c r="N299" s="47">
        <f t="shared" si="173"/>
        <v>13177.308558356328</v>
      </c>
      <c r="O299" s="34"/>
      <c r="P299" s="35"/>
      <c r="Q299" s="35"/>
      <c r="R299" s="33"/>
      <c r="S299" s="43"/>
      <c r="T299" s="19"/>
      <c r="U299" s="27">
        <f t="shared" si="174"/>
        <v>20859.627780672403</v>
      </c>
      <c r="V299" s="28">
        <f t="shared" si="174"/>
        <v>13177.308558356328</v>
      </c>
    </row>
    <row r="300" spans="1:22" hidden="1" outlineLevel="1" x14ac:dyDescent="0.25">
      <c r="A300" s="18"/>
      <c r="B300" s="38">
        <f t="shared" si="175"/>
        <v>16</v>
      </c>
      <c r="C300" s="54">
        <f t="shared" si="168"/>
        <v>137.03596450617863</v>
      </c>
      <c r="D300" s="33">
        <f>C300*VLOOKUP($A$285,Ταρίφες!$A$6:$G$23,$K$6,FALSE)*(1+$F$3)^(B300-1)</f>
        <v>36999.710416668233</v>
      </c>
      <c r="E300" s="33">
        <f>C300*VLOOKUP($A$285,Ταρίφες!$A$6:$G$23,$K$7,FALSE)*(1+$F$3)^(B300-1)</f>
        <v>26722.013078704833</v>
      </c>
      <c r="F300" s="46">
        <f t="shared" si="164"/>
        <v>-2422.5630089834326</v>
      </c>
      <c r="G300" s="47">
        <f t="shared" si="165"/>
        <v>-1345.8683383241291</v>
      </c>
      <c r="H300" s="47">
        <f t="shared" si="166"/>
        <v>-1615.042005988955</v>
      </c>
      <c r="I300" s="46">
        <f t="shared" si="167"/>
        <v>-6056.4075224585813</v>
      </c>
      <c r="J300" s="47">
        <f t="shared" si="169"/>
        <v>-5780</v>
      </c>
      <c r="K300" s="47">
        <f t="shared" si="170"/>
        <v>-5142.755680637415</v>
      </c>
      <c r="L300" s="47">
        <f t="shared" si="171"/>
        <v>-2470.554372766931</v>
      </c>
      <c r="M300" s="47">
        <f t="shared" si="172"/>
        <v>20417.073860275719</v>
      </c>
      <c r="N300" s="47">
        <f t="shared" si="173"/>
        <v>12811.577830182803</v>
      </c>
      <c r="O300" s="34"/>
      <c r="P300" s="35"/>
      <c r="Q300" s="35"/>
      <c r="R300" s="33"/>
      <c r="S300" s="43"/>
      <c r="T300" s="19"/>
      <c r="U300" s="27">
        <f t="shared" si="174"/>
        <v>20417.073860275719</v>
      </c>
      <c r="V300" s="28">
        <f t="shared" si="174"/>
        <v>12811.577830182803</v>
      </c>
    </row>
    <row r="301" spans="1:22" hidden="1" outlineLevel="1" x14ac:dyDescent="0.25">
      <c r="A301" s="18"/>
      <c r="B301" s="38">
        <f t="shared" si="175"/>
        <v>17</v>
      </c>
      <c r="C301" s="54">
        <f t="shared" si="168"/>
        <v>135.66560486111683</v>
      </c>
      <c r="D301" s="33">
        <f>C301*VLOOKUP($A$285,Ταρίφες!$A$6:$G$23,$K$6,FALSE)*(1+$F$3)^(B301-1)</f>
        <v>36629.713312501546</v>
      </c>
      <c r="E301" s="33">
        <f>C301*VLOOKUP($A$285,Ταρίφες!$A$6:$G$23,$K$7,FALSE)*(1+$F$3)^(B301-1)</f>
        <v>26454.792947917784</v>
      </c>
      <c r="F301" s="46">
        <f t="shared" si="164"/>
        <v>-2471.0142691631017</v>
      </c>
      <c r="G301" s="47">
        <f t="shared" si="165"/>
        <v>-1372.7857050906121</v>
      </c>
      <c r="H301" s="47">
        <f t="shared" si="166"/>
        <v>-1647.3428461087344</v>
      </c>
      <c r="I301" s="46">
        <f t="shared" si="167"/>
        <v>-6177.5356729077539</v>
      </c>
      <c r="J301" s="47">
        <f t="shared" si="169"/>
        <v>-5780</v>
      </c>
      <c r="K301" s="47">
        <f t="shared" si="170"/>
        <v>-4987.0690530001493</v>
      </c>
      <c r="L301" s="47">
        <f t="shared" si="171"/>
        <v>-2341.5897582083712</v>
      </c>
      <c r="M301" s="47">
        <f t="shared" si="172"/>
        <v>19973.965766231195</v>
      </c>
      <c r="N301" s="47">
        <f t="shared" si="173"/>
        <v>12444.52469643921</v>
      </c>
      <c r="O301" s="34"/>
      <c r="P301" s="35"/>
      <c r="Q301" s="35"/>
      <c r="R301" s="33"/>
      <c r="S301" s="43"/>
      <c r="T301" s="19"/>
      <c r="U301" s="27">
        <f t="shared" si="174"/>
        <v>19973.965766231195</v>
      </c>
      <c r="V301" s="28">
        <f t="shared" si="174"/>
        <v>12444.52469643921</v>
      </c>
    </row>
    <row r="302" spans="1:22" hidden="1" outlineLevel="1" x14ac:dyDescent="0.25">
      <c r="A302" s="18"/>
      <c r="B302" s="38">
        <f t="shared" si="175"/>
        <v>18</v>
      </c>
      <c r="C302" s="54">
        <f t="shared" si="168"/>
        <v>134.30894881250566</v>
      </c>
      <c r="D302" s="33">
        <f>C302*VLOOKUP($A$285,Ταρίφες!$A$6:$G$23,$K$6,FALSE)*(1+$F$3)^(B302-1)</f>
        <v>36263.416179376531</v>
      </c>
      <c r="E302" s="33">
        <f>C302*VLOOKUP($A$285,Ταρίφες!$A$6:$G$23,$K$7,FALSE)*(1+$F$3)^(B302-1)</f>
        <v>26190.245018438603</v>
      </c>
      <c r="F302" s="46">
        <f t="shared" si="164"/>
        <v>-2520.4345545463639</v>
      </c>
      <c r="G302" s="47">
        <f t="shared" si="165"/>
        <v>-1400.2414191924245</v>
      </c>
      <c r="H302" s="47">
        <f t="shared" si="166"/>
        <v>-1680.2897030309093</v>
      </c>
      <c r="I302" s="46">
        <f t="shared" si="167"/>
        <v>-6301.0863863659097</v>
      </c>
      <c r="J302" s="47">
        <f t="shared" si="169"/>
        <v>-5780</v>
      </c>
      <c r="K302" s="47">
        <f t="shared" si="170"/>
        <v>-4831.1546702226397</v>
      </c>
      <c r="L302" s="47">
        <f t="shared" si="171"/>
        <v>-2212.1301683787788</v>
      </c>
      <c r="M302" s="47">
        <f t="shared" si="172"/>
        <v>19530.209446018282</v>
      </c>
      <c r="N302" s="47">
        <f t="shared" si="173"/>
        <v>12076.062786924216</v>
      </c>
      <c r="O302" s="34"/>
      <c r="P302" s="35"/>
      <c r="Q302" s="35"/>
      <c r="R302" s="33"/>
      <c r="S302" s="43"/>
      <c r="T302" s="19"/>
      <c r="U302" s="27">
        <f t="shared" si="174"/>
        <v>19530.209446018282</v>
      </c>
      <c r="V302" s="28">
        <f t="shared" si="174"/>
        <v>12076.062786924216</v>
      </c>
    </row>
    <row r="303" spans="1:22" hidden="1" outlineLevel="1" x14ac:dyDescent="0.25">
      <c r="A303" s="18"/>
      <c r="B303" s="38">
        <f t="shared" si="175"/>
        <v>19</v>
      </c>
      <c r="C303" s="54">
        <f t="shared" si="168"/>
        <v>132.9658593243806</v>
      </c>
      <c r="D303" s="33">
        <f>C303*VLOOKUP($A$285,Ταρίφες!$A$6:$G$23,$K$6,FALSE)*(1+$F$3)^(B303-1)</f>
        <v>35900.782017582766</v>
      </c>
      <c r="E303" s="33">
        <f>C303*VLOOKUP($A$285,Ταρίφες!$A$6:$G$23,$K$7,FALSE)*(1+$F$3)^(B303-1)</f>
        <v>25928.342568254218</v>
      </c>
      <c r="F303" s="46">
        <f t="shared" si="164"/>
        <v>-2570.8432456372907</v>
      </c>
      <c r="G303" s="47">
        <f t="shared" si="165"/>
        <v>-1428.2462475762727</v>
      </c>
      <c r="H303" s="47">
        <f t="shared" si="166"/>
        <v>-1713.8954970915272</v>
      </c>
      <c r="I303" s="46">
        <f t="shared" si="167"/>
        <v>-6427.1081140932274</v>
      </c>
      <c r="J303" s="47">
        <f t="shared" si="169"/>
        <v>-5780</v>
      </c>
      <c r="K303" s="47">
        <f t="shared" si="170"/>
        <v>-4674.9791174279562</v>
      </c>
      <c r="L303" s="47">
        <f t="shared" si="171"/>
        <v>-2082.1448606025342</v>
      </c>
      <c r="M303" s="47">
        <f t="shared" si="172"/>
        <v>19085.709795756491</v>
      </c>
      <c r="N303" s="47">
        <f t="shared" si="173"/>
        <v>11706.104603253367</v>
      </c>
      <c r="O303" s="34"/>
      <c r="P303" s="35"/>
      <c r="Q303" s="35"/>
      <c r="R303" s="33"/>
      <c r="S303" s="43"/>
      <c r="T303" s="19"/>
      <c r="U303" s="27">
        <f t="shared" si="174"/>
        <v>19085.709795756491</v>
      </c>
      <c r="V303" s="28">
        <f t="shared" si="174"/>
        <v>11706.104603253367</v>
      </c>
    </row>
    <row r="304" spans="1:22" hidden="1" outlineLevel="1" x14ac:dyDescent="0.25">
      <c r="A304" s="18"/>
      <c r="B304" s="38">
        <f>B303+1</f>
        <v>20</v>
      </c>
      <c r="C304" s="54">
        <f>C303*(1-$F$2)</f>
        <v>131.6362007311368</v>
      </c>
      <c r="D304" s="33">
        <f>C304*VLOOKUP($A$285,Ταρίφες!$A$6:$G$23,$K$6,FALSE)*(1+$F$3)^(B304-1)</f>
        <v>35541.774197406936</v>
      </c>
      <c r="E304" s="33">
        <f>C304*VLOOKUP($A$285,Ταρίφες!$A$6:$G$23,$K$7,FALSE)*(1+$F$3)^(B304-1)</f>
        <v>25669.059142571674</v>
      </c>
      <c r="F304" s="46">
        <f t="shared" si="164"/>
        <v>-2622.2601105500366</v>
      </c>
      <c r="G304" s="47">
        <f t="shared" si="165"/>
        <v>-1456.8111725277981</v>
      </c>
      <c r="H304" s="47">
        <f>-$K$4*(1+$F$4)^(B304-$B$12)</f>
        <v>-1748.1734070333578</v>
      </c>
      <c r="I304" s="46">
        <f>-(4500*(1+$F$4)^(B304-$B$12))</f>
        <v>-6555.6502763750914</v>
      </c>
      <c r="J304" s="47">
        <f t="shared" si="169"/>
        <v>-5780</v>
      </c>
      <c r="K304" s="47">
        <f>-(D304+SUM(F304:J304))*$F$5</f>
        <v>-4518.5086000393694</v>
      </c>
      <c r="L304" s="47">
        <f>-(E304+SUM(F304:J304))*$F$5</f>
        <v>-1951.6026857822012</v>
      </c>
      <c r="M304" s="47">
        <f>D304+SUM(F304:I304)+K304</f>
        <v>18640.370630881283</v>
      </c>
      <c r="N304" s="47">
        <f>E304+SUM(F304:I304)+L304</f>
        <v>11334.561490303187</v>
      </c>
      <c r="O304" s="34"/>
      <c r="P304" s="35"/>
      <c r="Q304" s="35"/>
      <c r="R304" s="33"/>
      <c r="S304" s="43"/>
      <c r="T304" s="19"/>
      <c r="U304" s="27">
        <f>M304</f>
        <v>18640.370630881283</v>
      </c>
      <c r="V304" s="28">
        <f>N304</f>
        <v>11334.561490303187</v>
      </c>
    </row>
    <row r="305" spans="2:22" s="40" customFormat="1" hidden="1" outlineLevel="1" x14ac:dyDescent="0.25">
      <c r="O305" s="17"/>
      <c r="P305" s="25"/>
      <c r="Q305" s="25"/>
      <c r="R305" s="22"/>
      <c r="S305" s="52"/>
      <c r="T305" s="44"/>
      <c r="U305" s="74">
        <f>O306</f>
        <v>0</v>
      </c>
      <c r="V305" s="74">
        <f>R306</f>
        <v>0</v>
      </c>
    </row>
    <row r="307" spans="2:22" x14ac:dyDescent="0.25">
      <c r="B307"/>
      <c r="C307"/>
      <c r="D307"/>
      <c r="E307"/>
      <c r="F307"/>
      <c r="G307"/>
    </row>
    <row r="308" spans="2:22" x14ac:dyDescent="0.25">
      <c r="B308"/>
      <c r="C308"/>
      <c r="D308"/>
      <c r="E308"/>
      <c r="F308"/>
      <c r="G308"/>
    </row>
    <row r="309" spans="2:22" x14ac:dyDescent="0.25">
      <c r="B309"/>
      <c r="C309"/>
      <c r="D309"/>
      <c r="E309"/>
      <c r="F309"/>
      <c r="G309"/>
    </row>
    <row r="310" spans="2:22" x14ac:dyDescent="0.25">
      <c r="B310"/>
      <c r="C310"/>
      <c r="D310"/>
      <c r="E310"/>
      <c r="F310"/>
      <c r="G310"/>
    </row>
    <row r="311" spans="2:22" x14ac:dyDescent="0.25">
      <c r="B311"/>
      <c r="C311"/>
      <c r="D311"/>
      <c r="E311"/>
      <c r="F311"/>
      <c r="G311"/>
    </row>
    <row r="312" spans="2:22" x14ac:dyDescent="0.25">
      <c r="B312"/>
      <c r="C312"/>
      <c r="D312"/>
      <c r="E312"/>
      <c r="F312"/>
      <c r="G312"/>
    </row>
    <row r="313" spans="2:22" x14ac:dyDescent="0.25">
      <c r="B313"/>
      <c r="C313"/>
      <c r="D313"/>
      <c r="E313"/>
      <c r="F313"/>
      <c r="G313"/>
    </row>
    <row r="314" spans="2:22" x14ac:dyDescent="0.25">
      <c r="B314"/>
      <c r="C314"/>
      <c r="D314"/>
      <c r="E314"/>
      <c r="F314"/>
      <c r="G314"/>
    </row>
    <row r="315" spans="2:22" x14ac:dyDescent="0.25">
      <c r="B315"/>
      <c r="C315"/>
      <c r="D315"/>
      <c r="E315"/>
      <c r="F315"/>
      <c r="G315"/>
    </row>
    <row r="316" spans="2:22" x14ac:dyDescent="0.25">
      <c r="B316"/>
      <c r="C316"/>
      <c r="D316"/>
      <c r="E316"/>
      <c r="F316"/>
      <c r="G316"/>
    </row>
    <row r="317" spans="2:22" x14ac:dyDescent="0.25">
      <c r="B317"/>
      <c r="C317"/>
      <c r="D317"/>
      <c r="E317"/>
      <c r="F317"/>
      <c r="G317"/>
    </row>
    <row r="318" spans="2:22" x14ac:dyDescent="0.25">
      <c r="B318"/>
      <c r="C318"/>
      <c r="D318"/>
      <c r="E318"/>
      <c r="F318"/>
      <c r="G318"/>
    </row>
    <row r="319" spans="2:22" x14ac:dyDescent="0.25">
      <c r="B319"/>
      <c r="C319"/>
      <c r="D319"/>
      <c r="E319"/>
      <c r="F319"/>
      <c r="G319"/>
    </row>
    <row r="320" spans="2:22" x14ac:dyDescent="0.25">
      <c r="B320"/>
      <c r="C320"/>
      <c r="D320"/>
      <c r="E320"/>
      <c r="F320"/>
      <c r="G320"/>
    </row>
    <row r="321" spans="2:7" x14ac:dyDescent="0.25">
      <c r="B321"/>
      <c r="C321"/>
      <c r="D321"/>
      <c r="E321"/>
      <c r="F321"/>
      <c r="G321"/>
    </row>
    <row r="322" spans="2:7" x14ac:dyDescent="0.25">
      <c r="B322"/>
      <c r="C322"/>
      <c r="D322"/>
      <c r="E322"/>
      <c r="F322"/>
      <c r="G322"/>
    </row>
    <row r="323" spans="2:7" x14ac:dyDescent="0.25">
      <c r="B323"/>
      <c r="C323"/>
      <c r="D323"/>
      <c r="E323"/>
      <c r="F323"/>
      <c r="G323"/>
    </row>
    <row r="324" spans="2:7" x14ac:dyDescent="0.25">
      <c r="B324"/>
      <c r="C324"/>
      <c r="D324"/>
      <c r="E324"/>
      <c r="F324"/>
      <c r="G324"/>
    </row>
    <row r="325" spans="2:7" x14ac:dyDescent="0.25">
      <c r="B325"/>
      <c r="C325"/>
      <c r="D325"/>
      <c r="E325"/>
      <c r="F325"/>
      <c r="G325"/>
    </row>
  </sheetData>
  <mergeCells count="16">
    <mergeCell ref="B4:E4"/>
    <mergeCell ref="G4:J4"/>
    <mergeCell ref="B1:K1"/>
    <mergeCell ref="B2:E2"/>
    <mergeCell ref="G2:J2"/>
    <mergeCell ref="B3:E3"/>
    <mergeCell ref="G3:J3"/>
    <mergeCell ref="B8:E8"/>
    <mergeCell ref="G8:J8"/>
    <mergeCell ref="C10:T10"/>
    <mergeCell ref="B5:E5"/>
    <mergeCell ref="G5:J5"/>
    <mergeCell ref="B6:E6"/>
    <mergeCell ref="G6:J6"/>
    <mergeCell ref="B7:E7"/>
    <mergeCell ref="G7:J7"/>
  </mergeCells>
  <conditionalFormatting sqref="S12:T28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 summaryBelow="0"/>
  </sheetPr>
  <dimension ref="A1:AB305"/>
  <sheetViews>
    <sheetView workbookViewId="0">
      <pane xSplit="1" ySplit="11" topLeftCell="C12" activePane="bottomRight" state="frozen"/>
      <selection pane="topRight" activeCell="B1" sqref="B1"/>
      <selection pane="bottomLeft" activeCell="A12" sqref="A12"/>
      <selection pane="bottomRight" activeCell="A117" sqref="A117"/>
    </sheetView>
  </sheetViews>
  <sheetFormatPr defaultRowHeight="15" outlineLevelRow="1" x14ac:dyDescent="0.25"/>
  <cols>
    <col min="1" max="1" width="15.5703125" style="16" customWidth="1"/>
    <col min="2" max="2" width="6.85546875" style="20" hidden="1" customWidth="1"/>
    <col min="3" max="3" width="11.85546875" style="57" customWidth="1"/>
    <col min="4" max="5" width="9.42578125" style="16" bestFit="1" customWidth="1"/>
    <col min="6" max="9" width="12.28515625" style="45" bestFit="1" customWidth="1"/>
    <col min="10" max="12" width="13.42578125" style="45" bestFit="1" customWidth="1"/>
    <col min="13" max="14" width="14.42578125" style="45" bestFit="1" customWidth="1"/>
    <col min="15" max="15" width="10.7109375" style="16" customWidth="1"/>
    <col min="16" max="16" width="10.7109375" style="24" customWidth="1"/>
    <col min="17" max="17" width="12" style="24" bestFit="1" customWidth="1"/>
    <col min="18" max="18" width="12" style="23" bestFit="1" customWidth="1"/>
    <col min="19" max="19" width="8.28515625" style="41" customWidth="1"/>
    <col min="20" max="20" width="8.28515625" style="20" customWidth="1"/>
    <col min="21" max="21" width="12.5703125" style="16" hidden="1" customWidth="1"/>
    <col min="22" max="22" width="12" style="16" hidden="1" customWidth="1"/>
    <col min="23" max="16384" width="9.140625" style="16"/>
  </cols>
  <sheetData>
    <row r="1" spans="1:28" ht="25.5" customHeight="1" x14ac:dyDescent="0.25">
      <c r="B1" s="123" t="s">
        <v>68</v>
      </c>
      <c r="C1" s="123"/>
      <c r="D1" s="123"/>
      <c r="E1" s="123"/>
      <c r="F1" s="123"/>
      <c r="G1" s="123"/>
      <c r="H1" s="123"/>
      <c r="I1" s="123"/>
      <c r="J1" s="123"/>
      <c r="K1" s="123"/>
      <c r="O1"/>
      <c r="P1"/>
      <c r="Q1"/>
    </row>
    <row r="2" spans="1:28" x14ac:dyDescent="0.25">
      <c r="B2" s="112" t="s">
        <v>37</v>
      </c>
      <c r="C2" s="112"/>
      <c r="D2" s="112"/>
      <c r="E2" s="112"/>
      <c r="F2" s="76">
        <v>0.01</v>
      </c>
      <c r="G2" s="112" t="s">
        <v>101</v>
      </c>
      <c r="H2" s="112"/>
      <c r="I2" s="112"/>
      <c r="J2" s="112"/>
      <c r="K2" s="59">
        <v>80</v>
      </c>
      <c r="O2"/>
      <c r="P2"/>
      <c r="Q2"/>
    </row>
    <row r="3" spans="1:28" x14ac:dyDescent="0.25">
      <c r="B3" s="112" t="s">
        <v>38</v>
      </c>
      <c r="C3" s="112"/>
      <c r="D3" s="112"/>
      <c r="E3" s="112"/>
      <c r="F3" s="76">
        <v>0</v>
      </c>
      <c r="G3" s="117" t="s">
        <v>45</v>
      </c>
      <c r="H3" s="118"/>
      <c r="I3" s="118"/>
      <c r="J3" s="119"/>
      <c r="K3" s="75">
        <f>1.2*K2*1000</f>
        <v>96000</v>
      </c>
      <c r="O3"/>
      <c r="P3"/>
      <c r="Q3"/>
    </row>
    <row r="4" spans="1:28" x14ac:dyDescent="0.25">
      <c r="B4" s="112" t="s">
        <v>39</v>
      </c>
      <c r="C4" s="112"/>
      <c r="D4" s="112"/>
      <c r="E4" s="112"/>
      <c r="F4" s="76">
        <v>0.02</v>
      </c>
      <c r="G4" s="117" t="s">
        <v>61</v>
      </c>
      <c r="H4" s="118"/>
      <c r="I4" s="118"/>
      <c r="J4" s="119"/>
      <c r="K4" s="60">
        <v>2800</v>
      </c>
      <c r="O4"/>
      <c r="P4"/>
      <c r="Q4"/>
    </row>
    <row r="5" spans="1:28" x14ac:dyDescent="0.25">
      <c r="B5" s="112" t="s">
        <v>42</v>
      </c>
      <c r="C5" s="112"/>
      <c r="D5" s="112"/>
      <c r="E5" s="112"/>
      <c r="F5" s="77">
        <v>0.26</v>
      </c>
      <c r="G5" s="117" t="s">
        <v>100</v>
      </c>
      <c r="H5" s="118"/>
      <c r="I5" s="118"/>
      <c r="J5" s="119"/>
      <c r="K5" s="60">
        <v>2000</v>
      </c>
      <c r="O5"/>
      <c r="P5"/>
      <c r="Q5"/>
    </row>
    <row r="6" spans="1:28" x14ac:dyDescent="0.25">
      <c r="B6" s="112" t="s">
        <v>99</v>
      </c>
      <c r="C6" s="112"/>
      <c r="D6" s="112"/>
      <c r="E6" s="112"/>
      <c r="F6" s="77">
        <v>8.5000000000000006E-2</v>
      </c>
      <c r="G6" s="120" t="s">
        <v>59</v>
      </c>
      <c r="H6" s="121"/>
      <c r="I6" s="121"/>
      <c r="J6" s="122"/>
      <c r="K6" s="83">
        <v>4</v>
      </c>
      <c r="O6"/>
      <c r="P6"/>
      <c r="Q6"/>
    </row>
    <row r="7" spans="1:28" x14ac:dyDescent="0.25">
      <c r="B7" s="112" t="s">
        <v>63</v>
      </c>
      <c r="C7" s="112"/>
      <c r="D7" s="112"/>
      <c r="E7" s="112"/>
      <c r="F7" s="78">
        <v>4</v>
      </c>
      <c r="G7" s="113" t="s">
        <v>60</v>
      </c>
      <c r="H7" s="113"/>
      <c r="I7" s="113"/>
      <c r="J7" s="113"/>
      <c r="K7" s="83">
        <v>6</v>
      </c>
      <c r="O7"/>
      <c r="P7"/>
      <c r="Q7"/>
    </row>
    <row r="8" spans="1:28" x14ac:dyDescent="0.25">
      <c r="B8" s="112" t="s">
        <v>102</v>
      </c>
      <c r="C8" s="112"/>
      <c r="D8" s="112"/>
      <c r="E8" s="112"/>
      <c r="F8" s="61">
        <f>Παραγωγές!C20</f>
        <v>1646.25</v>
      </c>
      <c r="G8" s="113" t="s">
        <v>62</v>
      </c>
      <c r="H8" s="113"/>
      <c r="I8" s="113"/>
      <c r="J8" s="113"/>
      <c r="K8" s="83">
        <v>15</v>
      </c>
      <c r="O8"/>
      <c r="P8"/>
      <c r="Q8"/>
    </row>
    <row r="9" spans="1:28" x14ac:dyDescent="0.25">
      <c r="F9" s="58"/>
      <c r="O9"/>
      <c r="P9"/>
      <c r="Q9"/>
    </row>
    <row r="10" spans="1:28" ht="27" customHeight="1" x14ac:dyDescent="0.25">
      <c r="C10" s="114" t="s">
        <v>67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6"/>
      <c r="S10" s="124" t="s">
        <v>107</v>
      </c>
      <c r="T10" s="124"/>
      <c r="W10" s="124" t="s">
        <v>70</v>
      </c>
      <c r="X10" s="124"/>
      <c r="Y10" s="124" t="s">
        <v>71</v>
      </c>
      <c r="Z10" s="124"/>
    </row>
    <row r="11" spans="1:28" ht="100.5" customHeight="1" x14ac:dyDescent="0.25">
      <c r="A11" s="18"/>
      <c r="B11" s="29" t="s">
        <v>40</v>
      </c>
      <c r="C11" s="53" t="s">
        <v>58</v>
      </c>
      <c r="D11" s="29" t="s">
        <v>52</v>
      </c>
      <c r="E11" s="29" t="s">
        <v>53</v>
      </c>
      <c r="F11" s="49" t="s">
        <v>44</v>
      </c>
      <c r="G11" s="49" t="s">
        <v>46</v>
      </c>
      <c r="H11" s="49" t="s">
        <v>47</v>
      </c>
      <c r="I11" s="49" t="s">
        <v>48</v>
      </c>
      <c r="J11" s="49" t="s">
        <v>41</v>
      </c>
      <c r="K11" s="49" t="s">
        <v>54</v>
      </c>
      <c r="L11" s="49" t="s">
        <v>55</v>
      </c>
      <c r="M11" s="49" t="s">
        <v>56</v>
      </c>
      <c r="N11" s="49" t="s">
        <v>57</v>
      </c>
      <c r="O11" s="30" t="s">
        <v>51</v>
      </c>
      <c r="P11" s="31" t="s">
        <v>43</v>
      </c>
      <c r="Q11" s="31" t="s">
        <v>49</v>
      </c>
      <c r="R11" s="31" t="s">
        <v>50</v>
      </c>
      <c r="S11" s="29" t="s">
        <v>64</v>
      </c>
      <c r="T11" s="29" t="s">
        <v>65</v>
      </c>
      <c r="U11" s="26">
        <f>O12</f>
        <v>-375500</v>
      </c>
      <c r="V11" s="26">
        <f>R12</f>
        <v>-312140</v>
      </c>
      <c r="W11" s="29" t="s">
        <v>64</v>
      </c>
      <c r="X11" s="29" t="s">
        <v>65</v>
      </c>
      <c r="Y11" s="29" t="s">
        <v>64</v>
      </c>
      <c r="Z11" s="29" t="s">
        <v>65</v>
      </c>
      <c r="AA11" s="95" t="s">
        <v>106</v>
      </c>
      <c r="AB11" s="95" t="s">
        <v>105</v>
      </c>
    </row>
    <row r="12" spans="1:28" collapsed="1" x14ac:dyDescent="0.25">
      <c r="A12" s="32" t="str">
        <f>Ταρίφες!A10</f>
        <v>Α Τριμ. 2010</v>
      </c>
      <c r="B12" s="38">
        <f>1</f>
        <v>1</v>
      </c>
      <c r="C12" s="54">
        <f>$F$8*$K$2/1000</f>
        <v>131.69999999999999</v>
      </c>
      <c r="D12" s="33">
        <f>C12*VLOOKUP($A$12,Ταρίφες!$A$6:$G$23,$K$6,FALSE)*(1+$F$3)^(B12-1)</f>
        <v>67167</v>
      </c>
      <c r="E12" s="33">
        <f>C12*VLOOKUP($A$12,Ταρίφες!$A$6:$G$23,$K$7,FALSE)*(1+$F$3)^(B12-1)</f>
        <v>50704.499999999993</v>
      </c>
      <c r="F12" s="46">
        <f t="shared" ref="F12:F31" si="0">-($K$5*(1+$F$4)^(B12-$B$12))</f>
        <v>-2000</v>
      </c>
      <c r="G12" s="47">
        <f t="shared" ref="G12:G31" si="1">-$K$2*10*(1+$F$4)^(B12-$B$12)</f>
        <v>-800</v>
      </c>
      <c r="H12" s="47">
        <f t="shared" ref="H12:H31" si="2">-$K$4*(1+$F$4)^(B12-$B$12)</f>
        <v>-2800</v>
      </c>
      <c r="I12" s="46">
        <f>-(4500*(1+$F$4)^(B12-$B$12))</f>
        <v>-4500</v>
      </c>
      <c r="J12" s="47">
        <f t="shared" ref="J12:J31" si="3">$O$12*4%</f>
        <v>-15020</v>
      </c>
      <c r="K12" s="47">
        <f>-(D12+SUM(F12:J12))*$F$5</f>
        <v>-10932.220000000001</v>
      </c>
      <c r="L12" s="47">
        <f>-(E12+SUM(F12:J12))*$F$5</f>
        <v>-6651.9699999999984</v>
      </c>
      <c r="M12" s="47">
        <f>D12+SUM(F12:I12)+K12</f>
        <v>46134.78</v>
      </c>
      <c r="N12" s="47">
        <f>E12+SUM(F12:I12)+L12</f>
        <v>33952.529999999992</v>
      </c>
      <c r="O12" s="35">
        <f>-VLOOKUP(A12,'Κόστος Κατασκευής'!$A$4:$Q$17,$K$8,FALSE)</f>
        <v>-375500</v>
      </c>
      <c r="P12" s="36">
        <f>$K$3</f>
        <v>96000</v>
      </c>
      <c r="Q12" s="36">
        <f>-P12*$F$7*$F$6</f>
        <v>-32640.000000000004</v>
      </c>
      <c r="R12" s="37">
        <f>SUM(O12:Q12)</f>
        <v>-312140</v>
      </c>
      <c r="S12" s="42">
        <f>IRR(U11:U31)</f>
        <v>9.2442426757382457E-2</v>
      </c>
      <c r="T12" s="42">
        <f>IRR(V11:V31)</f>
        <v>7.3082710202194479E-2</v>
      </c>
      <c r="U12" s="27">
        <f>M12</f>
        <v>46134.78</v>
      </c>
      <c r="V12" s="28">
        <f>N12</f>
        <v>33952.529999999992</v>
      </c>
      <c r="W12" s="42">
        <f>'IRR ΔΣ Ισχύον'!S12</f>
        <v>9.5305251883307296E-2</v>
      </c>
      <c r="X12" s="42">
        <f>'IRR ΔΣ Ισχύον'!T12</f>
        <v>0.10445828229032617</v>
      </c>
      <c r="Y12" s="42">
        <f>S12-W12</f>
        <v>-2.8628251259248394E-3</v>
      </c>
      <c r="Z12" s="42">
        <f>T12-X12</f>
        <v>-3.1375572088131687E-2</v>
      </c>
      <c r="AA12" s="96">
        <f>(P12)/-O12</f>
        <v>0.25565912117177098</v>
      </c>
      <c r="AB12" s="96">
        <f>(P12+Q12)/-O12</f>
        <v>0.16873501997336884</v>
      </c>
    </row>
    <row r="13" spans="1:28" hidden="1" outlineLevel="1" x14ac:dyDescent="0.25">
      <c r="A13" s="18"/>
      <c r="B13" s="38">
        <f t="shared" ref="B13:B52" si="4">B12+1</f>
        <v>2</v>
      </c>
      <c r="C13" s="54">
        <f t="shared" ref="C13:C31" si="5">C12*(1-$F$2)</f>
        <v>130.38299999999998</v>
      </c>
      <c r="D13" s="33">
        <f>C13*VLOOKUP($A$12,Ταρίφες!$A$6:$G$23,$K$6,FALSE)*(1+$F$3)^(B13-1)</f>
        <v>66495.329999999987</v>
      </c>
      <c r="E13" s="33">
        <f>C13*VLOOKUP($A$12,Ταρίφες!$A$6:$G$23,$K$7,FALSE)*(1+$F$3)^(B13-1)</f>
        <v>50197.454999999994</v>
      </c>
      <c r="F13" s="46">
        <f t="shared" si="0"/>
        <v>-2040</v>
      </c>
      <c r="G13" s="47">
        <f t="shared" si="1"/>
        <v>-816</v>
      </c>
      <c r="H13" s="47">
        <f t="shared" si="2"/>
        <v>-2856</v>
      </c>
      <c r="I13" s="46">
        <f t="shared" ref="I13:I31" si="6">-(4500*(1+$F$4)^(B13-$B$12))</f>
        <v>-4590</v>
      </c>
      <c r="J13" s="47">
        <f t="shared" si="3"/>
        <v>-15020</v>
      </c>
      <c r="K13" s="47">
        <f t="shared" ref="K13:K31" si="7">-(D13+SUM(F13:J13))*$F$5</f>
        <v>-10705.065799999997</v>
      </c>
      <c r="L13" s="47">
        <f t="shared" ref="L13:L31" si="8">-(E13+SUM(F13:J13))*$F$5</f>
        <v>-6467.6182999999992</v>
      </c>
      <c r="M13" s="47">
        <f t="shared" ref="M13:M31" si="9">D13+SUM(F13:I13)+K13</f>
        <v>45488.264199999991</v>
      </c>
      <c r="N13" s="47">
        <f t="shared" ref="N13:N31" si="10">E13+SUM(F13:I13)+L13</f>
        <v>33427.836699999993</v>
      </c>
      <c r="O13" s="34"/>
      <c r="P13" s="35"/>
      <c r="Q13" s="35"/>
      <c r="R13" s="33"/>
      <c r="S13" s="43"/>
      <c r="T13" s="19"/>
      <c r="U13" s="27">
        <f t="shared" ref="U13:U30" si="11">M13</f>
        <v>45488.264199999991</v>
      </c>
      <c r="V13" s="28">
        <f t="shared" ref="V13:V31" si="12">N13</f>
        <v>33427.836699999993</v>
      </c>
      <c r="W13" s="43"/>
      <c r="X13" s="19"/>
      <c r="Y13" s="42">
        <f t="shared" ref="Y13:Y76" si="13">S13-W13</f>
        <v>0</v>
      </c>
      <c r="Z13" s="42">
        <f t="shared" ref="Z13:Z76" si="14">T13-X13</f>
        <v>0</v>
      </c>
      <c r="AA13" s="96" t="e">
        <f t="shared" ref="AA13:AA76" si="15">(P13)/-O13</f>
        <v>#DIV/0!</v>
      </c>
      <c r="AB13" s="96" t="e">
        <f t="shared" ref="AB13:AB76" si="16">(P13+Q13)/-O13</f>
        <v>#DIV/0!</v>
      </c>
    </row>
    <row r="14" spans="1:28" hidden="1" outlineLevel="1" x14ac:dyDescent="0.25">
      <c r="A14" s="18"/>
      <c r="B14" s="38">
        <f t="shared" si="4"/>
        <v>3</v>
      </c>
      <c r="C14" s="54">
        <f t="shared" si="5"/>
        <v>129.07916999999998</v>
      </c>
      <c r="D14" s="33">
        <f>C14*VLOOKUP($A$12,Ταρίφες!$A$6:$G$23,$K$6,FALSE)*(1+$F$3)^(B14-1)</f>
        <v>65830.376699999993</v>
      </c>
      <c r="E14" s="33">
        <f>C14*VLOOKUP($A$12,Ταρίφες!$A$6:$G$23,$K$7,FALSE)*(1+$F$3)^(B14-1)</f>
        <v>49695.480449999988</v>
      </c>
      <c r="F14" s="46">
        <f t="shared" si="0"/>
        <v>-2080.8000000000002</v>
      </c>
      <c r="G14" s="47">
        <f t="shared" si="1"/>
        <v>-832.31999999999994</v>
      </c>
      <c r="H14" s="47">
        <f t="shared" si="2"/>
        <v>-2913.12</v>
      </c>
      <c r="I14" s="46">
        <f t="shared" si="6"/>
        <v>-4681.8</v>
      </c>
      <c r="J14" s="47">
        <f t="shared" si="3"/>
        <v>-15020</v>
      </c>
      <c r="K14" s="47">
        <f t="shared" si="7"/>
        <v>-10478.607541999998</v>
      </c>
      <c r="L14" s="47">
        <f t="shared" si="8"/>
        <v>-6283.5345169999973</v>
      </c>
      <c r="M14" s="47">
        <f t="shared" si="9"/>
        <v>44843.729157999995</v>
      </c>
      <c r="N14" s="47">
        <f t="shared" si="10"/>
        <v>32903.905932999987</v>
      </c>
      <c r="O14" s="34"/>
      <c r="P14" s="35"/>
      <c r="Q14" s="35"/>
      <c r="R14" s="33"/>
      <c r="S14" s="43"/>
      <c r="T14" s="19"/>
      <c r="U14" s="27">
        <f t="shared" si="11"/>
        <v>44843.729157999995</v>
      </c>
      <c r="V14" s="28">
        <f t="shared" si="12"/>
        <v>32903.905932999987</v>
      </c>
      <c r="W14" s="43"/>
      <c r="X14" s="19"/>
      <c r="Y14" s="42">
        <f t="shared" si="13"/>
        <v>0</v>
      </c>
      <c r="Z14" s="42">
        <f t="shared" si="14"/>
        <v>0</v>
      </c>
      <c r="AA14" s="96" t="e">
        <f t="shared" si="15"/>
        <v>#DIV/0!</v>
      </c>
      <c r="AB14" s="96" t="e">
        <f t="shared" si="16"/>
        <v>#DIV/0!</v>
      </c>
    </row>
    <row r="15" spans="1:28" hidden="1" outlineLevel="1" x14ac:dyDescent="0.25">
      <c r="A15" s="18"/>
      <c r="B15" s="38">
        <f t="shared" si="4"/>
        <v>4</v>
      </c>
      <c r="C15" s="54">
        <f t="shared" si="5"/>
        <v>127.78837829999998</v>
      </c>
      <c r="D15" s="33">
        <f>C15*VLOOKUP($A$12,Ταρίφες!$A$6:$G$23,$K$6,FALSE)*(1+$F$3)^(B15-1)</f>
        <v>65172.072932999989</v>
      </c>
      <c r="E15" s="33">
        <f>C15*VLOOKUP($A$12,Ταρίφες!$A$6:$G$23,$K$7,FALSE)*(1+$F$3)^(B15-1)</f>
        <v>49198.525645499991</v>
      </c>
      <c r="F15" s="46">
        <f t="shared" si="0"/>
        <v>-2122.4159999999997</v>
      </c>
      <c r="G15" s="47">
        <f t="shared" si="1"/>
        <v>-848.96639999999991</v>
      </c>
      <c r="H15" s="47">
        <f t="shared" si="2"/>
        <v>-2971.3824</v>
      </c>
      <c r="I15" s="46">
        <f t="shared" si="6"/>
        <v>-4775.4359999999997</v>
      </c>
      <c r="J15" s="47">
        <f t="shared" si="3"/>
        <v>-15020</v>
      </c>
      <c r="K15" s="47">
        <f t="shared" si="7"/>
        <v>-10252.806754579999</v>
      </c>
      <c r="L15" s="47">
        <f t="shared" si="8"/>
        <v>-6099.6844598299986</v>
      </c>
      <c r="M15" s="47">
        <f t="shared" si="9"/>
        <v>44201.065378419989</v>
      </c>
      <c r="N15" s="47">
        <f t="shared" si="10"/>
        <v>32380.640385669994</v>
      </c>
      <c r="O15" s="34"/>
      <c r="P15" s="35"/>
      <c r="Q15" s="35"/>
      <c r="R15" s="33"/>
      <c r="S15" s="43"/>
      <c r="T15" s="19"/>
      <c r="U15" s="27">
        <f t="shared" si="11"/>
        <v>44201.065378419989</v>
      </c>
      <c r="V15" s="28">
        <f t="shared" si="12"/>
        <v>32380.640385669994</v>
      </c>
      <c r="W15" s="43"/>
      <c r="X15" s="19"/>
      <c r="Y15" s="42">
        <f t="shared" si="13"/>
        <v>0</v>
      </c>
      <c r="Z15" s="42">
        <f t="shared" si="14"/>
        <v>0</v>
      </c>
      <c r="AA15" s="96" t="e">
        <f t="shared" si="15"/>
        <v>#DIV/0!</v>
      </c>
      <c r="AB15" s="96" t="e">
        <f t="shared" si="16"/>
        <v>#DIV/0!</v>
      </c>
    </row>
    <row r="16" spans="1:28" hidden="1" outlineLevel="1" x14ac:dyDescent="0.25">
      <c r="A16" s="18"/>
      <c r="B16" s="38">
        <f t="shared" si="4"/>
        <v>5</v>
      </c>
      <c r="C16" s="54">
        <f t="shared" si="5"/>
        <v>126.51049451699997</v>
      </c>
      <c r="D16" s="33">
        <f>C16*VLOOKUP($A$12,Ταρίφες!$A$6:$G$23,$K$6,FALSE)*(1+$F$3)^(B16-1)</f>
        <v>64520.352203669987</v>
      </c>
      <c r="E16" s="33">
        <f>C16*VLOOKUP($A$12,Ταρίφες!$A$6:$G$23,$K$7,FALSE)*(1+$F$3)^(B16-1)</f>
        <v>48706.540389044989</v>
      </c>
      <c r="F16" s="46">
        <f t="shared" si="0"/>
        <v>-2164.8643200000001</v>
      </c>
      <c r="G16" s="47">
        <f t="shared" si="1"/>
        <v>-865.94572800000003</v>
      </c>
      <c r="H16" s="47">
        <f t="shared" si="2"/>
        <v>-3030.8100479999998</v>
      </c>
      <c r="I16" s="46">
        <f t="shared" si="6"/>
        <v>-4870.9447199999995</v>
      </c>
      <c r="J16" s="47">
        <f t="shared" si="3"/>
        <v>-15020</v>
      </c>
      <c r="K16" s="47">
        <f t="shared" si="7"/>
        <v>-10027.624720794198</v>
      </c>
      <c r="L16" s="47">
        <f t="shared" si="8"/>
        <v>-5916.0336489916981</v>
      </c>
      <c r="M16" s="47">
        <f t="shared" si="9"/>
        <v>43560.162666875789</v>
      </c>
      <c r="N16" s="47">
        <f t="shared" si="10"/>
        <v>31857.941924053292</v>
      </c>
      <c r="O16" s="34"/>
      <c r="P16" s="35"/>
      <c r="Q16" s="35"/>
      <c r="R16" s="33"/>
      <c r="S16" s="43"/>
      <c r="T16" s="19"/>
      <c r="U16" s="27">
        <f t="shared" si="11"/>
        <v>43560.162666875789</v>
      </c>
      <c r="V16" s="28">
        <f t="shared" si="12"/>
        <v>31857.941924053292</v>
      </c>
      <c r="W16" s="43"/>
      <c r="X16" s="19"/>
      <c r="Y16" s="42">
        <f t="shared" si="13"/>
        <v>0</v>
      </c>
      <c r="Z16" s="42">
        <f t="shared" si="14"/>
        <v>0</v>
      </c>
      <c r="AA16" s="96" t="e">
        <f t="shared" si="15"/>
        <v>#DIV/0!</v>
      </c>
      <c r="AB16" s="96" t="e">
        <f t="shared" si="16"/>
        <v>#DIV/0!</v>
      </c>
    </row>
    <row r="17" spans="1:28" hidden="1" outlineLevel="1" x14ac:dyDescent="0.25">
      <c r="A17" s="18"/>
      <c r="B17" s="38">
        <f t="shared" si="4"/>
        <v>6</v>
      </c>
      <c r="C17" s="54">
        <f t="shared" si="5"/>
        <v>125.24538957182997</v>
      </c>
      <c r="D17" s="33">
        <f>C17*VLOOKUP($A$12,Ταρίφες!$A$6:$G$23,$K$6,FALSE)*(1+$F$3)^(B17-1)</f>
        <v>63875.148681633284</v>
      </c>
      <c r="E17" s="33">
        <f>C17*VLOOKUP($A$12,Ταρίφες!$A$6:$G$23,$K$7,FALSE)*(1+$F$3)^(B17-1)</f>
        <v>48219.474985154542</v>
      </c>
      <c r="F17" s="46">
        <f t="shared" si="0"/>
        <v>-2208.1616064</v>
      </c>
      <c r="G17" s="47">
        <f t="shared" si="1"/>
        <v>-883.26464255999997</v>
      </c>
      <c r="H17" s="47">
        <f t="shared" si="2"/>
        <v>-3091.4262489600001</v>
      </c>
      <c r="I17" s="46">
        <f t="shared" si="6"/>
        <v>-4968.3636144000002</v>
      </c>
      <c r="J17" s="47">
        <f t="shared" si="3"/>
        <v>-15020</v>
      </c>
      <c r="K17" s="47">
        <f t="shared" si="7"/>
        <v>-9803.0224680214542</v>
      </c>
      <c r="L17" s="47">
        <f t="shared" si="8"/>
        <v>-5732.5473069369818</v>
      </c>
      <c r="M17" s="47">
        <f t="shared" si="9"/>
        <v>42920.910101291833</v>
      </c>
      <c r="N17" s="47">
        <f t="shared" si="10"/>
        <v>31335.71156589756</v>
      </c>
      <c r="O17" s="34"/>
      <c r="P17" s="35"/>
      <c r="Q17" s="35"/>
      <c r="R17" s="33"/>
      <c r="S17" s="43"/>
      <c r="T17" s="19"/>
      <c r="U17" s="27">
        <f t="shared" si="11"/>
        <v>42920.910101291833</v>
      </c>
      <c r="V17" s="28">
        <f t="shared" si="12"/>
        <v>31335.71156589756</v>
      </c>
      <c r="W17" s="43"/>
      <c r="X17" s="19"/>
      <c r="Y17" s="42">
        <f t="shared" si="13"/>
        <v>0</v>
      </c>
      <c r="Z17" s="42">
        <f t="shared" si="14"/>
        <v>0</v>
      </c>
      <c r="AA17" s="96" t="e">
        <f t="shared" si="15"/>
        <v>#DIV/0!</v>
      </c>
      <c r="AB17" s="96" t="e">
        <f t="shared" si="16"/>
        <v>#DIV/0!</v>
      </c>
    </row>
    <row r="18" spans="1:28" hidden="1" outlineLevel="1" x14ac:dyDescent="0.25">
      <c r="A18" s="18"/>
      <c r="B18" s="38">
        <f t="shared" si="4"/>
        <v>7</v>
      </c>
      <c r="C18" s="54">
        <f t="shared" si="5"/>
        <v>123.99293567611167</v>
      </c>
      <c r="D18" s="33">
        <f>C18*VLOOKUP($A$12,Ταρίφες!$A$6:$G$23,$K$6,FALSE)*(1+$F$3)^(B18-1)</f>
        <v>63236.397194816949</v>
      </c>
      <c r="E18" s="33">
        <f>C18*VLOOKUP($A$12,Ταρίφες!$A$6:$G$23,$K$7,FALSE)*(1+$F$3)^(B18-1)</f>
        <v>47737.280235302991</v>
      </c>
      <c r="F18" s="46">
        <f t="shared" si="0"/>
        <v>-2252.3248385280003</v>
      </c>
      <c r="G18" s="47">
        <f t="shared" si="1"/>
        <v>-900.92993541120006</v>
      </c>
      <c r="H18" s="47">
        <f t="shared" si="2"/>
        <v>-3153.2547739392003</v>
      </c>
      <c r="I18" s="46">
        <f t="shared" si="6"/>
        <v>-5067.7308866880003</v>
      </c>
      <c r="J18" s="47">
        <f t="shared" si="3"/>
        <v>-15020</v>
      </c>
      <c r="K18" s="47">
        <f t="shared" si="7"/>
        <v>-9578.9607576651433</v>
      </c>
      <c r="L18" s="47">
        <f t="shared" si="8"/>
        <v>-5549.1903481915142</v>
      </c>
      <c r="M18" s="47">
        <f t="shared" si="9"/>
        <v>42283.196002585406</v>
      </c>
      <c r="N18" s="47">
        <f t="shared" si="10"/>
        <v>30813.849452545073</v>
      </c>
      <c r="O18" s="34"/>
      <c r="P18" s="35"/>
      <c r="Q18" s="35"/>
      <c r="R18" s="33"/>
      <c r="S18" s="43"/>
      <c r="T18" s="19"/>
      <c r="U18" s="27">
        <f t="shared" si="11"/>
        <v>42283.196002585406</v>
      </c>
      <c r="V18" s="28">
        <f t="shared" si="12"/>
        <v>30813.849452545073</v>
      </c>
      <c r="W18" s="43"/>
      <c r="X18" s="19"/>
      <c r="Y18" s="42">
        <f t="shared" si="13"/>
        <v>0</v>
      </c>
      <c r="Z18" s="42">
        <f t="shared" si="14"/>
        <v>0</v>
      </c>
      <c r="AA18" s="96" t="e">
        <f t="shared" si="15"/>
        <v>#DIV/0!</v>
      </c>
      <c r="AB18" s="96" t="e">
        <f t="shared" si="16"/>
        <v>#DIV/0!</v>
      </c>
    </row>
    <row r="19" spans="1:28" hidden="1" outlineLevel="1" x14ac:dyDescent="0.25">
      <c r="A19" s="18"/>
      <c r="B19" s="38">
        <f t="shared" si="4"/>
        <v>8</v>
      </c>
      <c r="C19" s="54">
        <f t="shared" si="5"/>
        <v>122.75300631935055</v>
      </c>
      <c r="D19" s="33">
        <f>C19*VLOOKUP($A$12,Ταρίφες!$A$6:$G$23,$K$6,FALSE)*(1+$F$3)^(B19-1)</f>
        <v>62604.033222868777</v>
      </c>
      <c r="E19" s="33">
        <f>C19*VLOOKUP($A$12,Ταρίφες!$A$6:$G$23,$K$7,FALSE)*(1+$F$3)^(B19-1)</f>
        <v>47259.907432949964</v>
      </c>
      <c r="F19" s="46">
        <f t="shared" si="0"/>
        <v>-2297.3713352985596</v>
      </c>
      <c r="G19" s="47">
        <f t="shared" si="1"/>
        <v>-918.94853411942381</v>
      </c>
      <c r="H19" s="47">
        <f t="shared" si="2"/>
        <v>-3216.3198694179837</v>
      </c>
      <c r="I19" s="46">
        <f t="shared" si="6"/>
        <v>-5169.0855044217587</v>
      </c>
      <c r="J19" s="47">
        <f t="shared" si="3"/>
        <v>-15020</v>
      </c>
      <c r="K19" s="47">
        <f t="shared" si="7"/>
        <v>-9355.400074698875</v>
      </c>
      <c r="L19" s="47">
        <f t="shared" si="8"/>
        <v>-5365.9273693199821</v>
      </c>
      <c r="M19" s="47">
        <f t="shared" si="9"/>
        <v>41646.907904912179</v>
      </c>
      <c r="N19" s="47">
        <f t="shared" si="10"/>
        <v>30292.254820372251</v>
      </c>
      <c r="O19" s="34"/>
      <c r="P19" s="35"/>
      <c r="Q19" s="35"/>
      <c r="R19" s="33"/>
      <c r="S19" s="43"/>
      <c r="T19" s="19"/>
      <c r="U19" s="27">
        <f t="shared" si="11"/>
        <v>41646.907904912179</v>
      </c>
      <c r="V19" s="28">
        <f t="shared" si="12"/>
        <v>30292.254820372251</v>
      </c>
      <c r="W19" s="43"/>
      <c r="X19" s="19"/>
      <c r="Y19" s="42">
        <f t="shared" si="13"/>
        <v>0</v>
      </c>
      <c r="Z19" s="42">
        <f t="shared" si="14"/>
        <v>0</v>
      </c>
      <c r="AA19" s="96" t="e">
        <f t="shared" si="15"/>
        <v>#DIV/0!</v>
      </c>
      <c r="AB19" s="96" t="e">
        <f t="shared" si="16"/>
        <v>#DIV/0!</v>
      </c>
    </row>
    <row r="20" spans="1:28" hidden="1" outlineLevel="1" x14ac:dyDescent="0.25">
      <c r="A20" s="18"/>
      <c r="B20" s="38">
        <f t="shared" si="4"/>
        <v>9</v>
      </c>
      <c r="C20" s="54">
        <f t="shared" si="5"/>
        <v>121.52547625615703</v>
      </c>
      <c r="D20" s="33">
        <f>C20*VLOOKUP($A$12,Ταρίφες!$A$6:$G$23,$K$6,FALSE)*(1+$F$3)^(B20-1)</f>
        <v>61977.992890640089</v>
      </c>
      <c r="E20" s="33">
        <f>C20*VLOOKUP($A$12,Ταρίφες!$A$6:$G$23,$K$7,FALSE)*(1+$F$3)^(B20-1)</f>
        <v>46787.308358620459</v>
      </c>
      <c r="F20" s="46">
        <f t="shared" si="0"/>
        <v>-2343.318762004531</v>
      </c>
      <c r="G20" s="47">
        <f t="shared" si="1"/>
        <v>-937.32750480181244</v>
      </c>
      <c r="H20" s="47">
        <f t="shared" si="2"/>
        <v>-3280.6462668063436</v>
      </c>
      <c r="I20" s="46">
        <f t="shared" si="6"/>
        <v>-5272.4672145101949</v>
      </c>
      <c r="J20" s="47">
        <f t="shared" si="3"/>
        <v>-15020</v>
      </c>
      <c r="K20" s="47">
        <f t="shared" si="7"/>
        <v>-9132.3006170544741</v>
      </c>
      <c r="L20" s="47">
        <f t="shared" si="8"/>
        <v>-5182.7226387293704</v>
      </c>
      <c r="M20" s="47">
        <f t="shared" si="9"/>
        <v>41011.932525462733</v>
      </c>
      <c r="N20" s="47">
        <f t="shared" si="10"/>
        <v>29770.825971768209</v>
      </c>
      <c r="O20" s="34"/>
      <c r="P20" s="35"/>
      <c r="Q20" s="35"/>
      <c r="R20" s="33"/>
      <c r="S20" s="43"/>
      <c r="T20" s="19"/>
      <c r="U20" s="27">
        <f t="shared" si="11"/>
        <v>41011.932525462733</v>
      </c>
      <c r="V20" s="28">
        <f t="shared" si="12"/>
        <v>29770.825971768209</v>
      </c>
      <c r="W20" s="43"/>
      <c r="X20" s="19"/>
      <c r="Y20" s="42">
        <f t="shared" si="13"/>
        <v>0</v>
      </c>
      <c r="Z20" s="42">
        <f t="shared" si="14"/>
        <v>0</v>
      </c>
      <c r="AA20" s="96" t="e">
        <f t="shared" si="15"/>
        <v>#DIV/0!</v>
      </c>
      <c r="AB20" s="96" t="e">
        <f t="shared" si="16"/>
        <v>#DIV/0!</v>
      </c>
    </row>
    <row r="21" spans="1:28" hidden="1" outlineLevel="1" x14ac:dyDescent="0.25">
      <c r="A21" s="18"/>
      <c r="B21" s="38">
        <f t="shared" si="4"/>
        <v>10</v>
      </c>
      <c r="C21" s="54">
        <f t="shared" si="5"/>
        <v>120.31022149359546</v>
      </c>
      <c r="D21" s="33">
        <f>C21*VLOOKUP($A$12,Ταρίφες!$A$6:$G$23,$K$6,FALSE)*(1+$F$3)^(B21-1)</f>
        <v>61358.212961733683</v>
      </c>
      <c r="E21" s="33">
        <f>C21*VLOOKUP($A$12,Ταρίφες!$A$6:$G$23,$K$7,FALSE)*(1+$F$3)^(B21-1)</f>
        <v>46319.435275034251</v>
      </c>
      <c r="F21" s="46">
        <f t="shared" si="0"/>
        <v>-2390.1851372446217</v>
      </c>
      <c r="G21" s="47">
        <f t="shared" si="1"/>
        <v>-956.07405489784867</v>
      </c>
      <c r="H21" s="47">
        <f t="shared" si="2"/>
        <v>-3346.2591921424705</v>
      </c>
      <c r="I21" s="46">
        <f t="shared" si="6"/>
        <v>-5377.9165588003989</v>
      </c>
      <c r="J21" s="47">
        <f t="shared" si="3"/>
        <v>-15020</v>
      </c>
      <c r="K21" s="47">
        <f t="shared" si="7"/>
        <v>-8909.6222848485704</v>
      </c>
      <c r="L21" s="47">
        <f t="shared" si="8"/>
        <v>-4999.5400863067171</v>
      </c>
      <c r="M21" s="47">
        <f t="shared" si="9"/>
        <v>40378.155733799773</v>
      </c>
      <c r="N21" s="47">
        <f t="shared" si="10"/>
        <v>29249.460245642193</v>
      </c>
      <c r="O21" s="34"/>
      <c r="P21" s="35"/>
      <c r="Q21" s="35"/>
      <c r="R21" s="33"/>
      <c r="S21" s="43"/>
      <c r="T21" s="19"/>
      <c r="U21" s="27">
        <f t="shared" si="11"/>
        <v>40378.155733799773</v>
      </c>
      <c r="V21" s="28">
        <f t="shared" si="12"/>
        <v>29249.460245642193</v>
      </c>
      <c r="W21" s="43"/>
      <c r="X21" s="19"/>
      <c r="Y21" s="42">
        <f t="shared" si="13"/>
        <v>0</v>
      </c>
      <c r="Z21" s="42">
        <f t="shared" si="14"/>
        <v>0</v>
      </c>
      <c r="AA21" s="96" t="e">
        <f t="shared" si="15"/>
        <v>#DIV/0!</v>
      </c>
      <c r="AB21" s="96" t="e">
        <f t="shared" si="16"/>
        <v>#DIV/0!</v>
      </c>
    </row>
    <row r="22" spans="1:28" hidden="1" outlineLevel="1" x14ac:dyDescent="0.25">
      <c r="A22" s="18"/>
      <c r="B22" s="38">
        <f t="shared" si="4"/>
        <v>11</v>
      </c>
      <c r="C22" s="54">
        <f t="shared" si="5"/>
        <v>119.10711927865951</v>
      </c>
      <c r="D22" s="33">
        <f>C22*VLOOKUP($A$12,Ταρίφες!$A$6:$G$23,$K$6,FALSE)*(1+$F$3)^(B22-1)</f>
        <v>60744.630832116352</v>
      </c>
      <c r="E22" s="33">
        <f>C22*VLOOKUP($A$12,Ταρίφες!$A$6:$G$23,$K$7,FALSE)*(1+$F$3)^(B22-1)</f>
        <v>45856.240922283912</v>
      </c>
      <c r="F22" s="46">
        <f t="shared" si="0"/>
        <v>-2437.9888399895144</v>
      </c>
      <c r="G22" s="47">
        <f t="shared" si="1"/>
        <v>-975.1955359958057</v>
      </c>
      <c r="H22" s="47">
        <f t="shared" si="2"/>
        <v>-3413.18437598532</v>
      </c>
      <c r="I22" s="46">
        <f t="shared" si="6"/>
        <v>-5485.4748899764072</v>
      </c>
      <c r="J22" s="47">
        <f t="shared" si="3"/>
        <v>-15020</v>
      </c>
      <c r="K22" s="47">
        <f t="shared" si="7"/>
        <v>-8687.3246694440204</v>
      </c>
      <c r="L22" s="47">
        <f t="shared" si="8"/>
        <v>-4816.3432928875854</v>
      </c>
      <c r="M22" s="47">
        <f t="shared" si="9"/>
        <v>39745.462520725283</v>
      </c>
      <c r="N22" s="47">
        <f t="shared" si="10"/>
        <v>28728.053987449282</v>
      </c>
      <c r="O22" s="34"/>
      <c r="P22" s="35"/>
      <c r="Q22" s="35"/>
      <c r="R22" s="33"/>
      <c r="S22" s="43"/>
      <c r="T22" s="19"/>
      <c r="U22" s="27">
        <f t="shared" si="11"/>
        <v>39745.462520725283</v>
      </c>
      <c r="V22" s="28">
        <f t="shared" si="12"/>
        <v>28728.053987449282</v>
      </c>
      <c r="W22" s="43"/>
      <c r="X22" s="19"/>
      <c r="Y22" s="42">
        <f t="shared" si="13"/>
        <v>0</v>
      </c>
      <c r="Z22" s="42">
        <f t="shared" si="14"/>
        <v>0</v>
      </c>
      <c r="AA22" s="96" t="e">
        <f t="shared" si="15"/>
        <v>#DIV/0!</v>
      </c>
      <c r="AB22" s="96" t="e">
        <f t="shared" si="16"/>
        <v>#DIV/0!</v>
      </c>
    </row>
    <row r="23" spans="1:28" hidden="1" outlineLevel="1" x14ac:dyDescent="0.25">
      <c r="A23" s="18"/>
      <c r="B23" s="38">
        <f t="shared" si="4"/>
        <v>12</v>
      </c>
      <c r="C23" s="54">
        <f t="shared" si="5"/>
        <v>117.91604808587292</v>
      </c>
      <c r="D23" s="33">
        <f>C23*VLOOKUP($A$12,Ταρίφες!$A$6:$G$23,$K$6,FALSE)*(1+$F$3)^(B23-1)</f>
        <v>60137.184523795186</v>
      </c>
      <c r="E23" s="33">
        <f>C23*VLOOKUP($A$12,Ταρίφες!$A$6:$G$23,$K$7,FALSE)*(1+$F$3)^(B23-1)</f>
        <v>45397.678513061073</v>
      </c>
      <c r="F23" s="46">
        <f t="shared" si="0"/>
        <v>-2486.7486167893039</v>
      </c>
      <c r="G23" s="47">
        <f t="shared" si="1"/>
        <v>-994.69944671572159</v>
      </c>
      <c r="H23" s="47">
        <f t="shared" si="2"/>
        <v>-3481.4480635050259</v>
      </c>
      <c r="I23" s="46">
        <f t="shared" si="6"/>
        <v>-5595.1843877759338</v>
      </c>
      <c r="J23" s="47">
        <f t="shared" si="3"/>
        <v>-15020</v>
      </c>
      <c r="K23" s="47">
        <f t="shared" si="7"/>
        <v>-8465.3670423423919</v>
      </c>
      <c r="L23" s="47">
        <f t="shared" si="8"/>
        <v>-4633.0954795515227</v>
      </c>
      <c r="M23" s="47">
        <f t="shared" si="9"/>
        <v>39113.736966666809</v>
      </c>
      <c r="N23" s="47">
        <f t="shared" si="10"/>
        <v>28206.502518723566</v>
      </c>
      <c r="O23" s="34"/>
      <c r="P23" s="35"/>
      <c r="Q23" s="35"/>
      <c r="R23" s="33"/>
      <c r="S23" s="43"/>
      <c r="T23" s="19"/>
      <c r="U23" s="27">
        <f t="shared" si="11"/>
        <v>39113.736966666809</v>
      </c>
      <c r="V23" s="28">
        <f t="shared" si="12"/>
        <v>28206.502518723566</v>
      </c>
      <c r="W23" s="43"/>
      <c r="X23" s="19"/>
      <c r="Y23" s="42">
        <f t="shared" si="13"/>
        <v>0</v>
      </c>
      <c r="Z23" s="42">
        <f t="shared" si="14"/>
        <v>0</v>
      </c>
      <c r="AA23" s="96" t="e">
        <f t="shared" si="15"/>
        <v>#DIV/0!</v>
      </c>
      <c r="AB23" s="96" t="e">
        <f t="shared" si="16"/>
        <v>#DIV/0!</v>
      </c>
    </row>
    <row r="24" spans="1:28" hidden="1" outlineLevel="1" x14ac:dyDescent="0.25">
      <c r="A24" s="18"/>
      <c r="B24" s="38">
        <f t="shared" si="4"/>
        <v>13</v>
      </c>
      <c r="C24" s="54">
        <f t="shared" si="5"/>
        <v>116.73688760501419</v>
      </c>
      <c r="D24" s="33">
        <f>C24*VLOOKUP($A$12,Ταρίφες!$A$6:$G$23,$K$6,FALSE)*(1+$F$3)^(B24-1)</f>
        <v>59535.812678557239</v>
      </c>
      <c r="E24" s="33">
        <f>C24*VLOOKUP($A$12,Ταρίφες!$A$6:$G$23,$K$7,FALSE)*(1+$F$3)^(B24-1)</f>
        <v>44943.701727930464</v>
      </c>
      <c r="F24" s="46">
        <f t="shared" si="0"/>
        <v>-2536.4835891250905</v>
      </c>
      <c r="G24" s="47">
        <f t="shared" si="1"/>
        <v>-1014.5934356500362</v>
      </c>
      <c r="H24" s="47">
        <f t="shared" si="2"/>
        <v>-3551.0770247751266</v>
      </c>
      <c r="I24" s="46">
        <f t="shared" si="6"/>
        <v>-5707.0880755314538</v>
      </c>
      <c r="J24" s="47">
        <f t="shared" si="3"/>
        <v>-15020</v>
      </c>
      <c r="K24" s="47">
        <f t="shared" si="7"/>
        <v>-8243.7083439036396</v>
      </c>
      <c r="L24" s="47">
        <f t="shared" si="8"/>
        <v>-4449.7594967406767</v>
      </c>
      <c r="M24" s="47">
        <f t="shared" si="9"/>
        <v>38482.862209571889</v>
      </c>
      <c r="N24" s="47">
        <f t="shared" si="10"/>
        <v>27684.700106108081</v>
      </c>
      <c r="O24" s="34"/>
      <c r="P24" s="35"/>
      <c r="Q24" s="35"/>
      <c r="R24" s="33"/>
      <c r="S24" s="43"/>
      <c r="T24" s="19"/>
      <c r="U24" s="27">
        <f t="shared" si="11"/>
        <v>38482.862209571889</v>
      </c>
      <c r="V24" s="28">
        <f t="shared" si="12"/>
        <v>27684.700106108081</v>
      </c>
      <c r="W24" s="43"/>
      <c r="X24" s="19"/>
      <c r="Y24" s="42">
        <f t="shared" si="13"/>
        <v>0</v>
      </c>
      <c r="Z24" s="42">
        <f t="shared" si="14"/>
        <v>0</v>
      </c>
      <c r="AA24" s="96" t="e">
        <f t="shared" si="15"/>
        <v>#DIV/0!</v>
      </c>
      <c r="AB24" s="96" t="e">
        <f t="shared" si="16"/>
        <v>#DIV/0!</v>
      </c>
    </row>
    <row r="25" spans="1:28" hidden="1" outlineLevel="1" x14ac:dyDescent="0.25">
      <c r="A25" s="18"/>
      <c r="B25" s="38">
        <f t="shared" si="4"/>
        <v>14</v>
      </c>
      <c r="C25" s="54">
        <f t="shared" si="5"/>
        <v>115.56951872896404</v>
      </c>
      <c r="D25" s="33">
        <f>C25*VLOOKUP($A$12,Ταρίφες!$A$6:$G$23,$K$6,FALSE)*(1+$F$3)^(B25-1)</f>
        <v>58940.454551771661</v>
      </c>
      <c r="E25" s="33">
        <f>C25*VLOOKUP($A$12,Ταρίφες!$A$6:$G$23,$K$7,FALSE)*(1+$F$3)^(B25-1)</f>
        <v>44494.264710651158</v>
      </c>
      <c r="F25" s="46">
        <f t="shared" si="0"/>
        <v>-2587.213260907592</v>
      </c>
      <c r="G25" s="47">
        <f t="shared" si="1"/>
        <v>-1034.8853043630368</v>
      </c>
      <c r="H25" s="47">
        <f t="shared" si="2"/>
        <v>-3622.098565270629</v>
      </c>
      <c r="I25" s="46">
        <f t="shared" si="6"/>
        <v>-5821.2298370420822</v>
      </c>
      <c r="J25" s="47">
        <f t="shared" si="3"/>
        <v>-15020</v>
      </c>
      <c r="K25" s="47">
        <f t="shared" si="7"/>
        <v>-8022.3071718889641</v>
      </c>
      <c r="L25" s="47">
        <f t="shared" si="8"/>
        <v>-4266.2978131976333</v>
      </c>
      <c r="M25" s="47">
        <f t="shared" si="9"/>
        <v>37852.720412299364</v>
      </c>
      <c r="N25" s="47">
        <f t="shared" si="10"/>
        <v>27162.539929870185</v>
      </c>
      <c r="O25" s="34"/>
      <c r="P25" s="35"/>
      <c r="Q25" s="35"/>
      <c r="R25" s="33"/>
      <c r="S25" s="43"/>
      <c r="T25" s="19"/>
      <c r="U25" s="27">
        <f t="shared" si="11"/>
        <v>37852.720412299364</v>
      </c>
      <c r="V25" s="28">
        <f t="shared" si="12"/>
        <v>27162.539929870185</v>
      </c>
      <c r="W25" s="43"/>
      <c r="X25" s="19"/>
      <c r="Y25" s="42">
        <f t="shared" si="13"/>
        <v>0</v>
      </c>
      <c r="Z25" s="42">
        <f t="shared" si="14"/>
        <v>0</v>
      </c>
      <c r="AA25" s="96" t="e">
        <f t="shared" si="15"/>
        <v>#DIV/0!</v>
      </c>
      <c r="AB25" s="96" t="e">
        <f t="shared" si="16"/>
        <v>#DIV/0!</v>
      </c>
    </row>
    <row r="26" spans="1:28" hidden="1" outlineLevel="1" x14ac:dyDescent="0.25">
      <c r="A26" s="18"/>
      <c r="B26" s="38">
        <f t="shared" si="4"/>
        <v>15</v>
      </c>
      <c r="C26" s="54">
        <f t="shared" si="5"/>
        <v>114.4138235416744</v>
      </c>
      <c r="D26" s="33">
        <f>C26*VLOOKUP($A$12,Ταρίφες!$A$6:$G$23,$K$6,FALSE)*(1+$F$3)^(B26-1)</f>
        <v>58351.050006253943</v>
      </c>
      <c r="E26" s="33">
        <f>C26*VLOOKUP($A$12,Ταρίφες!$A$6:$G$23,$K$7,FALSE)*(1+$F$3)^(B26-1)</f>
        <v>44049.322063544649</v>
      </c>
      <c r="F26" s="46">
        <f t="shared" si="0"/>
        <v>-2638.9575261257442</v>
      </c>
      <c r="G26" s="47">
        <f t="shared" si="1"/>
        <v>-1055.5830104502977</v>
      </c>
      <c r="H26" s="47">
        <f t="shared" si="2"/>
        <v>-3694.5405365760421</v>
      </c>
      <c r="I26" s="46">
        <f t="shared" si="6"/>
        <v>-5937.6544337829246</v>
      </c>
      <c r="J26" s="47">
        <f t="shared" si="3"/>
        <v>-15020</v>
      </c>
      <c r="K26" s="47">
        <f t="shared" si="7"/>
        <v>-7801.1217698229229</v>
      </c>
      <c r="L26" s="47">
        <f t="shared" si="8"/>
        <v>-4082.6725047185064</v>
      </c>
      <c r="M26" s="47">
        <f t="shared" si="9"/>
        <v>37223.192729496011</v>
      </c>
      <c r="N26" s="47">
        <f t="shared" si="10"/>
        <v>26639.914051891134</v>
      </c>
      <c r="O26" s="34"/>
      <c r="P26" s="35"/>
      <c r="Q26" s="35"/>
      <c r="R26" s="33"/>
      <c r="S26" s="43"/>
      <c r="T26" s="19"/>
      <c r="U26" s="27">
        <f t="shared" si="11"/>
        <v>37223.192729496011</v>
      </c>
      <c r="V26" s="28">
        <f t="shared" si="12"/>
        <v>26639.914051891134</v>
      </c>
      <c r="W26" s="43"/>
      <c r="X26" s="19"/>
      <c r="Y26" s="42">
        <f t="shared" si="13"/>
        <v>0</v>
      </c>
      <c r="Z26" s="42">
        <f t="shared" si="14"/>
        <v>0</v>
      </c>
      <c r="AA26" s="96" t="e">
        <f t="shared" si="15"/>
        <v>#DIV/0!</v>
      </c>
      <c r="AB26" s="96" t="e">
        <f t="shared" si="16"/>
        <v>#DIV/0!</v>
      </c>
    </row>
    <row r="27" spans="1:28" hidden="1" outlineLevel="1" x14ac:dyDescent="0.25">
      <c r="A27" s="18"/>
      <c r="B27" s="38">
        <f t="shared" si="4"/>
        <v>16</v>
      </c>
      <c r="C27" s="54">
        <f t="shared" si="5"/>
        <v>113.26968530625766</v>
      </c>
      <c r="D27" s="33">
        <f>C27*VLOOKUP($A$12,Ταρίφες!$A$6:$G$23,$K$6,FALSE)*(1+$F$3)^(B27-1)</f>
        <v>57767.539506191402</v>
      </c>
      <c r="E27" s="33">
        <f>C27*VLOOKUP($A$12,Ταρίφες!$A$6:$G$23,$K$7,FALSE)*(1+$F$3)^(B27-1)</f>
        <v>43608.828842909199</v>
      </c>
      <c r="F27" s="46">
        <f t="shared" si="0"/>
        <v>-2691.7366766482583</v>
      </c>
      <c r="G27" s="47">
        <f t="shared" si="1"/>
        <v>-1076.6946706593035</v>
      </c>
      <c r="H27" s="47">
        <f t="shared" si="2"/>
        <v>-3768.4313473075617</v>
      </c>
      <c r="I27" s="46">
        <f t="shared" si="6"/>
        <v>-6056.4075224585813</v>
      </c>
      <c r="J27" s="47">
        <f t="shared" si="3"/>
        <v>-15020</v>
      </c>
      <c r="K27" s="47">
        <f t="shared" si="7"/>
        <v>-7580.1100151706023</v>
      </c>
      <c r="L27" s="47">
        <f t="shared" si="8"/>
        <v>-3898.8452427172292</v>
      </c>
      <c r="M27" s="47">
        <f t="shared" si="9"/>
        <v>36594.159273947094</v>
      </c>
      <c r="N27" s="47">
        <f t="shared" si="10"/>
        <v>26116.713383118265</v>
      </c>
      <c r="O27" s="34"/>
      <c r="P27" s="35"/>
      <c r="Q27" s="35"/>
      <c r="R27" s="33"/>
      <c r="S27" s="43"/>
      <c r="T27" s="19"/>
      <c r="U27" s="27">
        <f t="shared" si="11"/>
        <v>36594.159273947094</v>
      </c>
      <c r="V27" s="28">
        <f t="shared" si="12"/>
        <v>26116.713383118265</v>
      </c>
      <c r="W27" s="43"/>
      <c r="X27" s="19"/>
      <c r="Y27" s="42">
        <f t="shared" si="13"/>
        <v>0</v>
      </c>
      <c r="Z27" s="42">
        <f t="shared" si="14"/>
        <v>0</v>
      </c>
      <c r="AA27" s="96" t="e">
        <f t="shared" si="15"/>
        <v>#DIV/0!</v>
      </c>
      <c r="AB27" s="96" t="e">
        <f t="shared" si="16"/>
        <v>#DIV/0!</v>
      </c>
    </row>
    <row r="28" spans="1:28" hidden="1" outlineLevel="1" x14ac:dyDescent="0.25">
      <c r="A28" s="18"/>
      <c r="B28" s="38">
        <f t="shared" si="4"/>
        <v>17</v>
      </c>
      <c r="C28" s="54">
        <f t="shared" si="5"/>
        <v>112.13698845319507</v>
      </c>
      <c r="D28" s="33">
        <f>C28*VLOOKUP($A$12,Ταρίφες!$A$6:$G$23,$K$6,FALSE)*(1+$F$3)^(B28-1)</f>
        <v>57189.864111129486</v>
      </c>
      <c r="E28" s="33">
        <f>C28*VLOOKUP($A$12,Ταρίφες!$A$6:$G$23,$K$7,FALSE)*(1+$F$3)^(B28-1)</f>
        <v>43172.7405544801</v>
      </c>
      <c r="F28" s="46">
        <f t="shared" si="0"/>
        <v>-2745.5714101812241</v>
      </c>
      <c r="G28" s="47">
        <f t="shared" si="1"/>
        <v>-1098.2285640724897</v>
      </c>
      <c r="H28" s="47">
        <f t="shared" si="2"/>
        <v>-3843.7999742537136</v>
      </c>
      <c r="I28" s="46">
        <f t="shared" si="6"/>
        <v>-6177.5356729077539</v>
      </c>
      <c r="J28" s="47">
        <f t="shared" si="3"/>
        <v>-15020</v>
      </c>
      <c r="K28" s="47">
        <f t="shared" si="7"/>
        <v>-7359.229407325719</v>
      </c>
      <c r="L28" s="47">
        <f t="shared" si="8"/>
        <v>-3714.7772825968791</v>
      </c>
      <c r="M28" s="47">
        <f t="shared" si="9"/>
        <v>35965.499082388582</v>
      </c>
      <c r="N28" s="47">
        <f t="shared" si="10"/>
        <v>25592.82765046804</v>
      </c>
      <c r="O28" s="34"/>
      <c r="P28" s="35"/>
      <c r="Q28" s="35"/>
      <c r="R28" s="33"/>
      <c r="S28" s="43"/>
      <c r="T28" s="19"/>
      <c r="U28" s="27">
        <f t="shared" si="11"/>
        <v>35965.499082388582</v>
      </c>
      <c r="V28" s="28">
        <f t="shared" si="12"/>
        <v>25592.82765046804</v>
      </c>
      <c r="W28" s="43"/>
      <c r="X28" s="19"/>
      <c r="Y28" s="42">
        <f t="shared" si="13"/>
        <v>0</v>
      </c>
      <c r="Z28" s="42">
        <f t="shared" si="14"/>
        <v>0</v>
      </c>
      <c r="AA28" s="96" t="e">
        <f t="shared" si="15"/>
        <v>#DIV/0!</v>
      </c>
      <c r="AB28" s="96" t="e">
        <f t="shared" si="16"/>
        <v>#DIV/0!</v>
      </c>
    </row>
    <row r="29" spans="1:28" hidden="1" outlineLevel="1" x14ac:dyDescent="0.25">
      <c r="A29" s="18"/>
      <c r="B29" s="38">
        <f t="shared" si="4"/>
        <v>18</v>
      </c>
      <c r="C29" s="54">
        <f t="shared" si="5"/>
        <v>111.01561856866311</v>
      </c>
      <c r="D29" s="33">
        <f>C29*VLOOKUP($A$12,Ταρίφες!$A$6:$G$23,$K$6,FALSE)*(1+$F$3)^(B29-1)</f>
        <v>56617.965470018185</v>
      </c>
      <c r="E29" s="33">
        <f>C29*VLOOKUP($A$12,Ταρίφες!$A$6:$G$23,$K$7,FALSE)*(1+$F$3)^(B29-1)</f>
        <v>42741.013148935301</v>
      </c>
      <c r="F29" s="46">
        <f t="shared" si="0"/>
        <v>-2800.4828383848489</v>
      </c>
      <c r="G29" s="47">
        <f t="shared" si="1"/>
        <v>-1120.1931353539396</v>
      </c>
      <c r="H29" s="47">
        <f t="shared" si="2"/>
        <v>-3920.6759737387883</v>
      </c>
      <c r="I29" s="46">
        <f t="shared" si="6"/>
        <v>-6301.0863863659097</v>
      </c>
      <c r="J29" s="47">
        <f t="shared" si="3"/>
        <v>-15020</v>
      </c>
      <c r="K29" s="47">
        <f t="shared" si="7"/>
        <v>-7138.4370554054221</v>
      </c>
      <c r="L29" s="47">
        <f t="shared" si="8"/>
        <v>-3530.429451923872</v>
      </c>
      <c r="M29" s="47">
        <f t="shared" si="9"/>
        <v>35337.090080769281</v>
      </c>
      <c r="N29" s="47">
        <f t="shared" si="10"/>
        <v>25068.145363167943</v>
      </c>
      <c r="O29" s="34"/>
      <c r="P29" s="35"/>
      <c r="Q29" s="35"/>
      <c r="R29" s="33"/>
      <c r="S29" s="43"/>
      <c r="T29" s="19"/>
      <c r="U29" s="27">
        <f t="shared" si="11"/>
        <v>35337.090080769281</v>
      </c>
      <c r="V29" s="28">
        <f t="shared" si="12"/>
        <v>25068.145363167943</v>
      </c>
      <c r="W29" s="43"/>
      <c r="X29" s="19"/>
      <c r="Y29" s="42">
        <f t="shared" si="13"/>
        <v>0</v>
      </c>
      <c r="Z29" s="42">
        <f t="shared" si="14"/>
        <v>0</v>
      </c>
      <c r="AA29" s="96" t="e">
        <f t="shared" si="15"/>
        <v>#DIV/0!</v>
      </c>
      <c r="AB29" s="96" t="e">
        <f t="shared" si="16"/>
        <v>#DIV/0!</v>
      </c>
    </row>
    <row r="30" spans="1:28" hidden="1" outlineLevel="1" x14ac:dyDescent="0.25">
      <c r="A30" s="18"/>
      <c r="B30" s="38">
        <f t="shared" si="4"/>
        <v>19</v>
      </c>
      <c r="C30" s="54">
        <f t="shared" si="5"/>
        <v>109.90546238297648</v>
      </c>
      <c r="D30" s="33">
        <f>C30*VLOOKUP($A$12,Ταρίφες!$A$6:$G$23,$K$6,FALSE)*(1+$F$3)^(B30-1)</f>
        <v>56051.785815318006</v>
      </c>
      <c r="E30" s="33">
        <f>C30*VLOOKUP($A$12,Ταρίφες!$A$6:$G$23,$K$7,FALSE)*(1+$F$3)^(B30-1)</f>
        <v>42313.603017445945</v>
      </c>
      <c r="F30" s="46">
        <f t="shared" si="0"/>
        <v>-2856.4924951525454</v>
      </c>
      <c r="G30" s="47">
        <f t="shared" si="1"/>
        <v>-1142.5969980610182</v>
      </c>
      <c r="H30" s="47">
        <f t="shared" si="2"/>
        <v>-3999.0894932135634</v>
      </c>
      <c r="I30" s="46">
        <f t="shared" si="6"/>
        <v>-6427.1081140932274</v>
      </c>
      <c r="J30" s="47">
        <f t="shared" si="3"/>
        <v>-15020</v>
      </c>
      <c r="K30" s="47">
        <f t="shared" si="7"/>
        <v>-6917.6896658473888</v>
      </c>
      <c r="L30" s="47">
        <f t="shared" si="8"/>
        <v>-3345.7621384006534</v>
      </c>
      <c r="M30" s="47">
        <f t="shared" si="9"/>
        <v>34708.809048950265</v>
      </c>
      <c r="N30" s="47">
        <f t="shared" si="10"/>
        <v>24542.553778524936</v>
      </c>
      <c r="O30" s="34"/>
      <c r="P30" s="35"/>
      <c r="Q30" s="35"/>
      <c r="R30" s="33"/>
      <c r="S30" s="43"/>
      <c r="T30" s="19"/>
      <c r="U30" s="27">
        <f t="shared" si="11"/>
        <v>34708.809048950265</v>
      </c>
      <c r="V30" s="28">
        <f t="shared" si="12"/>
        <v>24542.553778524936</v>
      </c>
      <c r="W30" s="43"/>
      <c r="X30" s="19"/>
      <c r="Y30" s="42">
        <f t="shared" si="13"/>
        <v>0</v>
      </c>
      <c r="Z30" s="42">
        <f t="shared" si="14"/>
        <v>0</v>
      </c>
      <c r="AA30" s="96" t="e">
        <f t="shared" si="15"/>
        <v>#DIV/0!</v>
      </c>
      <c r="AB30" s="96" t="e">
        <f t="shared" si="16"/>
        <v>#DIV/0!</v>
      </c>
    </row>
    <row r="31" spans="1:28" hidden="1" outlineLevel="1" x14ac:dyDescent="0.25">
      <c r="A31" s="18"/>
      <c r="B31" s="38">
        <f>B30+1</f>
        <v>20</v>
      </c>
      <c r="C31" s="54">
        <f t="shared" si="5"/>
        <v>108.80640775914671</v>
      </c>
      <c r="D31" s="33">
        <f>C31*VLOOKUP($A$12,Ταρίφες!$A$6:$G$23,$K$6,FALSE)*(1+$F$3)^(B31-1)</f>
        <v>55491.267957164819</v>
      </c>
      <c r="E31" s="33">
        <f>C31*VLOOKUP($A$12,Ταρίφες!$A$6:$G$23,$K$7,FALSE)*(1+$F$3)^(B31-1)</f>
        <v>41890.46698727148</v>
      </c>
      <c r="F31" s="46">
        <f t="shared" si="0"/>
        <v>-2913.6223450555963</v>
      </c>
      <c r="G31" s="47">
        <f t="shared" si="1"/>
        <v>-1165.4489380222385</v>
      </c>
      <c r="H31" s="47">
        <f t="shared" si="2"/>
        <v>-4079.0712830778348</v>
      </c>
      <c r="I31" s="46">
        <f t="shared" si="6"/>
        <v>-6555.6502763750914</v>
      </c>
      <c r="J31" s="47">
        <f t="shared" si="3"/>
        <v>-15020</v>
      </c>
      <c r="K31" s="47">
        <f t="shared" si="7"/>
        <v>-6696.9435298048547</v>
      </c>
      <c r="L31" s="47">
        <f t="shared" si="8"/>
        <v>-3160.735277632587</v>
      </c>
      <c r="M31" s="47">
        <f t="shared" si="9"/>
        <v>34080.531584829201</v>
      </c>
      <c r="N31" s="47">
        <f t="shared" si="10"/>
        <v>24015.938867108132</v>
      </c>
      <c r="O31" s="34"/>
      <c r="P31" s="35"/>
      <c r="Q31" s="35"/>
      <c r="R31" s="33"/>
      <c r="S31" s="43"/>
      <c r="T31" s="19"/>
      <c r="U31" s="27">
        <f>M31</f>
        <v>34080.531584829201</v>
      </c>
      <c r="V31" s="28">
        <f t="shared" si="12"/>
        <v>24015.938867108132</v>
      </c>
      <c r="W31" s="43"/>
      <c r="X31" s="19"/>
      <c r="Y31" s="42">
        <f t="shared" si="13"/>
        <v>0</v>
      </c>
      <c r="Z31" s="42">
        <f t="shared" si="14"/>
        <v>0</v>
      </c>
      <c r="AA31" s="96" t="e">
        <f t="shared" si="15"/>
        <v>#DIV/0!</v>
      </c>
      <c r="AB31" s="96" t="e">
        <f t="shared" si="16"/>
        <v>#DIV/0!</v>
      </c>
    </row>
    <row r="32" spans="1:28" s="40" customFormat="1" hidden="1" outlineLevel="1" x14ac:dyDescent="0.25">
      <c r="A32" s="39"/>
      <c r="C32" s="55"/>
      <c r="F32" s="48"/>
      <c r="G32" s="48"/>
      <c r="H32" s="48"/>
      <c r="I32" s="48"/>
      <c r="J32" s="48"/>
      <c r="K32" s="48"/>
      <c r="L32" s="48"/>
      <c r="M32" s="48"/>
      <c r="N32" s="48"/>
      <c r="S32" s="44"/>
      <c r="T32" s="44"/>
      <c r="U32" s="26">
        <f>O33</f>
        <v>-351500</v>
      </c>
      <c r="V32" s="26">
        <f>R33</f>
        <v>-286100</v>
      </c>
      <c r="W32" s="44"/>
      <c r="X32" s="44"/>
      <c r="Y32" s="42">
        <f t="shared" si="13"/>
        <v>0</v>
      </c>
      <c r="Z32" s="42">
        <f t="shared" si="14"/>
        <v>0</v>
      </c>
      <c r="AA32" s="96" t="e">
        <f t="shared" si="15"/>
        <v>#DIV/0!</v>
      </c>
      <c r="AB32" s="96" t="e">
        <f t="shared" si="16"/>
        <v>#DIV/0!</v>
      </c>
    </row>
    <row r="33" spans="1:28" collapsed="1" x14ac:dyDescent="0.25">
      <c r="A33" s="32" t="str">
        <f>Ταρίφες!A11</f>
        <v>Β Τριμ. 2010</v>
      </c>
      <c r="B33" s="38">
        <f>1</f>
        <v>1</v>
      </c>
      <c r="C33" s="54">
        <f>$F$8*$K$2/1000</f>
        <v>131.69999999999999</v>
      </c>
      <c r="D33" s="33">
        <f>C33*VLOOKUP($A$33,Ταρίφες!$A$6:$G$23,$K$6,FALSE)*(1+$F$3)^(B33-1)</f>
        <v>65850</v>
      </c>
      <c r="E33" s="33">
        <f>C33*VLOOKUP($A$33,Ταρίφες!$A$6:$G$23,$K$7,FALSE)*(1+$F$3)^(B33-1)</f>
        <v>48728.999999999993</v>
      </c>
      <c r="F33" s="46">
        <f t="shared" ref="F33:F52" si="17">-($K$5*(1+$F$4)^(B33-$B$12))</f>
        <v>-2000</v>
      </c>
      <c r="G33" s="47">
        <f t="shared" ref="G33:G52" si="18">-$K$2*10*(1+$F$4)^(B33-$B$12)</f>
        <v>-800</v>
      </c>
      <c r="H33" s="47">
        <f t="shared" ref="H33:H52" si="19">-$K$4*(1+$F$4)^(B33-$B$12)</f>
        <v>-2800</v>
      </c>
      <c r="I33" s="46">
        <f t="shared" ref="I33:I52" si="20">-(4500*(1+$F$4)^(B33-$B$12))</f>
        <v>-4500</v>
      </c>
      <c r="J33" s="47">
        <f>$O$33*4%</f>
        <v>-14060</v>
      </c>
      <c r="K33" s="47">
        <f>-(D33+SUM(F33:J33))*$F$5</f>
        <v>-10839.4</v>
      </c>
      <c r="L33" s="47">
        <f>-(E33+SUM(F33:J33))*$F$5</f>
        <v>-6387.9399999999987</v>
      </c>
      <c r="M33" s="47">
        <f>D33+SUM(F33:I33)+K33</f>
        <v>44910.6</v>
      </c>
      <c r="N33" s="47">
        <f>E33+SUM(F33:I33)+L33</f>
        <v>32241.059999999994</v>
      </c>
      <c r="O33" s="35">
        <f>-VLOOKUP(A33,'Κόστος Κατασκευής'!$A$4:$Q$17,$K$8,FALSE)</f>
        <v>-351500</v>
      </c>
      <c r="P33" s="36">
        <f>$K$3</f>
        <v>96000</v>
      </c>
      <c r="Q33" s="36">
        <f>Q12*15/16</f>
        <v>-30600.000000000004</v>
      </c>
      <c r="R33" s="37">
        <f>SUM(O33:Q33)</f>
        <v>-286100</v>
      </c>
      <c r="S33" s="42">
        <f>IRR(U32:U52)</f>
        <v>9.8213283182250199E-2</v>
      </c>
      <c r="T33" s="42">
        <f>IRR(V32:V52)</f>
        <v>7.762527876843528E-2</v>
      </c>
      <c r="U33" s="27">
        <f>M33</f>
        <v>44910.6</v>
      </c>
      <c r="V33" s="28">
        <f>N33</f>
        <v>32241.059999999994</v>
      </c>
      <c r="W33" s="42">
        <f>'IRR ΔΣ Ισχύον'!S33</f>
        <v>0.10570060488613087</v>
      </c>
      <c r="X33" s="42">
        <f>'IRR ΔΣ Ισχύον'!T33</f>
        <v>0.11036465607270141</v>
      </c>
      <c r="Y33" s="42">
        <f t="shared" si="13"/>
        <v>-7.4873217038806672E-3</v>
      </c>
      <c r="Z33" s="42">
        <f t="shared" si="14"/>
        <v>-3.2739377304266126E-2</v>
      </c>
      <c r="AA33" s="96">
        <f t="shared" si="15"/>
        <v>0.27311522048364156</v>
      </c>
      <c r="AB33" s="96">
        <f t="shared" si="16"/>
        <v>0.1860597439544808</v>
      </c>
    </row>
    <row r="34" spans="1:28" hidden="1" outlineLevel="1" x14ac:dyDescent="0.25">
      <c r="A34" s="18"/>
      <c r="B34" s="38">
        <f>B33+1</f>
        <v>2</v>
      </c>
      <c r="C34" s="54">
        <f t="shared" ref="C34:C52" si="21">C33*(1-$F$2)</f>
        <v>130.38299999999998</v>
      </c>
      <c r="D34" s="33">
        <f>C34*VLOOKUP($A$33,Ταρίφες!$A$6:$G$23,$K$6,FALSE)*(1+$F$3)^(B34-1)</f>
        <v>65191.499999999993</v>
      </c>
      <c r="E34" s="33">
        <f>C34*VLOOKUP($A$33,Ταρίφες!$A$6:$G$23,$K$7,FALSE)*(1+$F$3)^(B34-1)</f>
        <v>48241.709999999992</v>
      </c>
      <c r="F34" s="46">
        <f t="shared" si="17"/>
        <v>-2040</v>
      </c>
      <c r="G34" s="47">
        <f t="shared" si="18"/>
        <v>-816</v>
      </c>
      <c r="H34" s="47">
        <f t="shared" si="19"/>
        <v>-2856</v>
      </c>
      <c r="I34" s="46">
        <f t="shared" si="20"/>
        <v>-4590</v>
      </c>
      <c r="J34" s="47">
        <f t="shared" ref="J34:J52" si="22">$O$33*4%</f>
        <v>-14060</v>
      </c>
      <c r="K34" s="47">
        <f t="shared" ref="K34:K52" si="23">-(D34+SUM(F34:J34))*$F$5</f>
        <v>-10615.669999999998</v>
      </c>
      <c r="L34" s="47">
        <f t="shared" ref="L34:L52" si="24">-(E34+SUM(F34:J34))*$F$5</f>
        <v>-6208.7245999999977</v>
      </c>
      <c r="M34" s="47">
        <f t="shared" ref="M34:M52" si="25">D34+SUM(F34:I34)+K34</f>
        <v>44273.829999999994</v>
      </c>
      <c r="N34" s="47">
        <f t="shared" ref="N34:N52" si="26">E34+SUM(F34:I34)+L34</f>
        <v>31730.985399999994</v>
      </c>
      <c r="O34" s="34"/>
      <c r="P34" s="35"/>
      <c r="Q34" s="35"/>
      <c r="R34" s="33"/>
      <c r="S34" s="43"/>
      <c r="T34" s="19"/>
      <c r="U34" s="27">
        <f t="shared" ref="U34:U51" si="27">M34</f>
        <v>44273.829999999994</v>
      </c>
      <c r="V34" s="28">
        <f t="shared" ref="V34:V52" si="28">N34</f>
        <v>31730.985399999994</v>
      </c>
      <c r="W34" s="43"/>
      <c r="X34" s="19"/>
      <c r="Y34" s="42">
        <f t="shared" si="13"/>
        <v>0</v>
      </c>
      <c r="Z34" s="42">
        <f t="shared" si="14"/>
        <v>0</v>
      </c>
      <c r="AA34" s="96" t="e">
        <f t="shared" si="15"/>
        <v>#DIV/0!</v>
      </c>
      <c r="AB34" s="96" t="e">
        <f t="shared" si="16"/>
        <v>#DIV/0!</v>
      </c>
    </row>
    <row r="35" spans="1:28" hidden="1" outlineLevel="1" x14ac:dyDescent="0.25">
      <c r="A35" s="18"/>
      <c r="B35" s="38">
        <f t="shared" si="4"/>
        <v>3</v>
      </c>
      <c r="C35" s="54">
        <f t="shared" si="21"/>
        <v>129.07916999999998</v>
      </c>
      <c r="D35" s="33">
        <f>C35*VLOOKUP($A$33,Ταρίφες!$A$6:$G$23,$K$6,FALSE)*(1+$F$3)^(B35-1)</f>
        <v>64539.584999999992</v>
      </c>
      <c r="E35" s="33">
        <f>C35*VLOOKUP($A$33,Ταρίφες!$A$6:$G$23,$K$7,FALSE)*(1+$F$3)^(B35-1)</f>
        <v>47759.292899999993</v>
      </c>
      <c r="F35" s="46">
        <f t="shared" si="17"/>
        <v>-2080.8000000000002</v>
      </c>
      <c r="G35" s="47">
        <f t="shared" si="18"/>
        <v>-832.31999999999994</v>
      </c>
      <c r="H35" s="47">
        <f t="shared" si="19"/>
        <v>-2913.12</v>
      </c>
      <c r="I35" s="46">
        <f t="shared" si="20"/>
        <v>-4681.8</v>
      </c>
      <c r="J35" s="47">
        <f t="shared" si="22"/>
        <v>-14060</v>
      </c>
      <c r="K35" s="47">
        <f t="shared" si="23"/>
        <v>-10392.601699999997</v>
      </c>
      <c r="L35" s="47">
        <f t="shared" si="24"/>
        <v>-6029.7257539999982</v>
      </c>
      <c r="M35" s="47">
        <f t="shared" si="25"/>
        <v>43638.943299999992</v>
      </c>
      <c r="N35" s="47">
        <f t="shared" si="26"/>
        <v>31221.527145999993</v>
      </c>
      <c r="O35" s="34"/>
      <c r="P35" s="35"/>
      <c r="Q35" s="35"/>
      <c r="R35" s="33"/>
      <c r="S35" s="43"/>
      <c r="T35" s="19"/>
      <c r="U35" s="27">
        <f t="shared" si="27"/>
        <v>43638.943299999992</v>
      </c>
      <c r="V35" s="28">
        <f t="shared" si="28"/>
        <v>31221.527145999993</v>
      </c>
      <c r="W35" s="43"/>
      <c r="X35" s="19"/>
      <c r="Y35" s="42">
        <f t="shared" si="13"/>
        <v>0</v>
      </c>
      <c r="Z35" s="42">
        <f t="shared" si="14"/>
        <v>0</v>
      </c>
      <c r="AA35" s="96" t="e">
        <f t="shared" si="15"/>
        <v>#DIV/0!</v>
      </c>
      <c r="AB35" s="96" t="e">
        <f t="shared" si="16"/>
        <v>#DIV/0!</v>
      </c>
    </row>
    <row r="36" spans="1:28" hidden="1" outlineLevel="1" x14ac:dyDescent="0.25">
      <c r="A36" s="18"/>
      <c r="B36" s="38">
        <f t="shared" si="4"/>
        <v>4</v>
      </c>
      <c r="C36" s="54">
        <f t="shared" si="21"/>
        <v>127.78837829999998</v>
      </c>
      <c r="D36" s="33">
        <f>C36*VLOOKUP($A$33,Ταρίφες!$A$6:$G$23,$K$6,FALSE)*(1+$F$3)^(B36-1)</f>
        <v>63894.189149999991</v>
      </c>
      <c r="E36" s="33">
        <f>C36*VLOOKUP($A$33,Ταρίφες!$A$6:$G$23,$K$7,FALSE)*(1+$F$3)^(B36-1)</f>
        <v>47281.699970999995</v>
      </c>
      <c r="F36" s="46">
        <f t="shared" si="17"/>
        <v>-2122.4159999999997</v>
      </c>
      <c r="G36" s="47">
        <f t="shared" si="18"/>
        <v>-848.96639999999991</v>
      </c>
      <c r="H36" s="47">
        <f t="shared" si="19"/>
        <v>-2971.3824</v>
      </c>
      <c r="I36" s="46">
        <f t="shared" si="20"/>
        <v>-4775.4359999999997</v>
      </c>
      <c r="J36" s="47">
        <f t="shared" si="22"/>
        <v>-14060</v>
      </c>
      <c r="K36" s="47">
        <f t="shared" si="23"/>
        <v>-10170.156970999999</v>
      </c>
      <c r="L36" s="47">
        <f t="shared" si="24"/>
        <v>-5850.9097844599992</v>
      </c>
      <c r="M36" s="47">
        <f t="shared" si="25"/>
        <v>43005.831378999996</v>
      </c>
      <c r="N36" s="47">
        <f t="shared" si="26"/>
        <v>30712.589386539996</v>
      </c>
      <c r="O36" s="34"/>
      <c r="P36" s="35"/>
      <c r="Q36" s="35"/>
      <c r="R36" s="33"/>
      <c r="S36" s="43"/>
      <c r="T36" s="19"/>
      <c r="U36" s="27">
        <f t="shared" si="27"/>
        <v>43005.831378999996</v>
      </c>
      <c r="V36" s="28">
        <f t="shared" si="28"/>
        <v>30712.589386539996</v>
      </c>
      <c r="W36" s="43"/>
      <c r="X36" s="19"/>
      <c r="Y36" s="42">
        <f t="shared" si="13"/>
        <v>0</v>
      </c>
      <c r="Z36" s="42">
        <f t="shared" si="14"/>
        <v>0</v>
      </c>
      <c r="AA36" s="96" t="e">
        <f t="shared" si="15"/>
        <v>#DIV/0!</v>
      </c>
      <c r="AB36" s="96" t="e">
        <f t="shared" si="16"/>
        <v>#DIV/0!</v>
      </c>
    </row>
    <row r="37" spans="1:28" hidden="1" outlineLevel="1" x14ac:dyDescent="0.25">
      <c r="A37" s="18"/>
      <c r="B37" s="38">
        <f t="shared" si="4"/>
        <v>5</v>
      </c>
      <c r="C37" s="54">
        <f t="shared" si="21"/>
        <v>126.51049451699997</v>
      </c>
      <c r="D37" s="33">
        <f>C37*VLOOKUP($A$33,Ταρίφες!$A$6:$G$23,$K$6,FALSE)*(1+$F$3)^(B37-1)</f>
        <v>63255.247258499985</v>
      </c>
      <c r="E37" s="33">
        <f>C37*VLOOKUP($A$33,Ταρίφες!$A$6:$G$23,$K$7,FALSE)*(1+$F$3)^(B37-1)</f>
        <v>46808.88297128999</v>
      </c>
      <c r="F37" s="46">
        <f t="shared" si="17"/>
        <v>-2164.8643200000001</v>
      </c>
      <c r="G37" s="47">
        <f t="shared" si="18"/>
        <v>-865.94572800000003</v>
      </c>
      <c r="H37" s="47">
        <f t="shared" si="19"/>
        <v>-3030.8100479999998</v>
      </c>
      <c r="I37" s="46">
        <f t="shared" si="20"/>
        <v>-4870.9447199999995</v>
      </c>
      <c r="J37" s="47">
        <f t="shared" si="22"/>
        <v>-14060</v>
      </c>
      <c r="K37" s="47">
        <f t="shared" si="23"/>
        <v>-9948.2974350499971</v>
      </c>
      <c r="L37" s="47">
        <f t="shared" si="24"/>
        <v>-5672.2427203753978</v>
      </c>
      <c r="M37" s="47">
        <f t="shared" si="25"/>
        <v>42374.385007449993</v>
      </c>
      <c r="N37" s="47">
        <f t="shared" si="26"/>
        <v>30204.075434914594</v>
      </c>
      <c r="O37" s="34"/>
      <c r="P37" s="35"/>
      <c r="Q37" s="35"/>
      <c r="R37" s="33"/>
      <c r="S37" s="43"/>
      <c r="T37" s="19"/>
      <c r="U37" s="27">
        <f t="shared" si="27"/>
        <v>42374.385007449993</v>
      </c>
      <c r="V37" s="28">
        <f t="shared" si="28"/>
        <v>30204.075434914594</v>
      </c>
      <c r="W37" s="43"/>
      <c r="X37" s="19"/>
      <c r="Y37" s="42">
        <f t="shared" si="13"/>
        <v>0</v>
      </c>
      <c r="Z37" s="42">
        <f t="shared" si="14"/>
        <v>0</v>
      </c>
      <c r="AA37" s="96" t="e">
        <f t="shared" si="15"/>
        <v>#DIV/0!</v>
      </c>
      <c r="AB37" s="96" t="e">
        <f t="shared" si="16"/>
        <v>#DIV/0!</v>
      </c>
    </row>
    <row r="38" spans="1:28" hidden="1" outlineLevel="1" x14ac:dyDescent="0.25">
      <c r="A38" s="18"/>
      <c r="B38" s="38">
        <f t="shared" si="4"/>
        <v>6</v>
      </c>
      <c r="C38" s="54">
        <f t="shared" si="21"/>
        <v>125.24538957182997</v>
      </c>
      <c r="D38" s="33">
        <f>C38*VLOOKUP($A$33,Ταρίφες!$A$6:$G$23,$K$6,FALSE)*(1+$F$3)^(B38-1)</f>
        <v>62622.694785914988</v>
      </c>
      <c r="E38" s="33">
        <f>C38*VLOOKUP($A$33,Ταρίφες!$A$6:$G$23,$K$7,FALSE)*(1+$F$3)^(B38-1)</f>
        <v>46340.794141577091</v>
      </c>
      <c r="F38" s="46">
        <f t="shared" si="17"/>
        <v>-2208.1616064</v>
      </c>
      <c r="G38" s="47">
        <f t="shared" si="18"/>
        <v>-883.26464255999997</v>
      </c>
      <c r="H38" s="47">
        <f t="shared" si="19"/>
        <v>-3091.4262489600001</v>
      </c>
      <c r="I38" s="46">
        <f t="shared" si="20"/>
        <v>-4968.3636144000002</v>
      </c>
      <c r="J38" s="47">
        <f t="shared" si="22"/>
        <v>-14060</v>
      </c>
      <c r="K38" s="47">
        <f t="shared" si="23"/>
        <v>-9726.9844551346978</v>
      </c>
      <c r="L38" s="47">
        <f t="shared" si="24"/>
        <v>-5493.6902876068443</v>
      </c>
      <c r="M38" s="47">
        <f t="shared" si="25"/>
        <v>41744.494218460291</v>
      </c>
      <c r="N38" s="47">
        <f t="shared" si="26"/>
        <v>29695.887741650247</v>
      </c>
      <c r="O38" s="34"/>
      <c r="P38" s="35"/>
      <c r="Q38" s="35"/>
      <c r="R38" s="33"/>
      <c r="S38" s="43"/>
      <c r="T38" s="19"/>
      <c r="U38" s="27">
        <f t="shared" si="27"/>
        <v>41744.494218460291</v>
      </c>
      <c r="V38" s="28">
        <f t="shared" si="28"/>
        <v>29695.887741650247</v>
      </c>
      <c r="W38" s="43"/>
      <c r="X38" s="19"/>
      <c r="Y38" s="42">
        <f t="shared" si="13"/>
        <v>0</v>
      </c>
      <c r="Z38" s="42">
        <f t="shared" si="14"/>
        <v>0</v>
      </c>
      <c r="AA38" s="96" t="e">
        <f t="shared" si="15"/>
        <v>#DIV/0!</v>
      </c>
      <c r="AB38" s="96" t="e">
        <f t="shared" si="16"/>
        <v>#DIV/0!</v>
      </c>
    </row>
    <row r="39" spans="1:28" hidden="1" outlineLevel="1" x14ac:dyDescent="0.25">
      <c r="A39" s="18"/>
      <c r="B39" s="38">
        <f t="shared" si="4"/>
        <v>7</v>
      </c>
      <c r="C39" s="54">
        <f t="shared" si="21"/>
        <v>123.99293567611167</v>
      </c>
      <c r="D39" s="33">
        <f>C39*VLOOKUP($A$33,Ταρίφες!$A$6:$G$23,$K$6,FALSE)*(1+$F$3)^(B39-1)</f>
        <v>61996.467838055833</v>
      </c>
      <c r="E39" s="33">
        <f>C39*VLOOKUP($A$33,Ταρίφες!$A$6:$G$23,$K$7,FALSE)*(1+$F$3)^(B39-1)</f>
        <v>45877.386200161316</v>
      </c>
      <c r="F39" s="46">
        <f t="shared" si="17"/>
        <v>-2252.3248385280003</v>
      </c>
      <c r="G39" s="47">
        <f t="shared" si="18"/>
        <v>-900.92993541120006</v>
      </c>
      <c r="H39" s="47">
        <f t="shared" si="19"/>
        <v>-3153.2547739392003</v>
      </c>
      <c r="I39" s="46">
        <f t="shared" si="20"/>
        <v>-5067.7308866880003</v>
      </c>
      <c r="J39" s="47">
        <f t="shared" si="22"/>
        <v>-14060</v>
      </c>
      <c r="K39" s="47">
        <f t="shared" si="23"/>
        <v>-9506.1791249072539</v>
      </c>
      <c r="L39" s="47">
        <f t="shared" si="24"/>
        <v>-5315.2178990546781</v>
      </c>
      <c r="M39" s="47">
        <f t="shared" si="25"/>
        <v>41116.048278582181</v>
      </c>
      <c r="N39" s="47">
        <f t="shared" si="26"/>
        <v>29187.927866540242</v>
      </c>
      <c r="O39" s="34"/>
      <c r="P39" s="35"/>
      <c r="Q39" s="35"/>
      <c r="R39" s="33"/>
      <c r="S39" s="43"/>
      <c r="T39" s="19"/>
      <c r="U39" s="27">
        <f t="shared" si="27"/>
        <v>41116.048278582181</v>
      </c>
      <c r="V39" s="28">
        <f t="shared" si="28"/>
        <v>29187.927866540242</v>
      </c>
      <c r="W39" s="43"/>
      <c r="X39" s="19"/>
      <c r="Y39" s="42">
        <f t="shared" si="13"/>
        <v>0</v>
      </c>
      <c r="Z39" s="42">
        <f t="shared" si="14"/>
        <v>0</v>
      </c>
      <c r="AA39" s="96" t="e">
        <f t="shared" si="15"/>
        <v>#DIV/0!</v>
      </c>
      <c r="AB39" s="96" t="e">
        <f t="shared" si="16"/>
        <v>#DIV/0!</v>
      </c>
    </row>
    <row r="40" spans="1:28" hidden="1" outlineLevel="1" x14ac:dyDescent="0.25">
      <c r="A40" s="18"/>
      <c r="B40" s="38">
        <f t="shared" si="4"/>
        <v>8</v>
      </c>
      <c r="C40" s="54">
        <f t="shared" si="21"/>
        <v>122.75300631935055</v>
      </c>
      <c r="D40" s="33">
        <f>C40*VLOOKUP($A$33,Ταρίφες!$A$6:$G$23,$K$6,FALSE)*(1+$F$3)^(B40-1)</f>
        <v>61376.503159675274</v>
      </c>
      <c r="E40" s="33">
        <f>C40*VLOOKUP($A$33,Ταρίφες!$A$6:$G$23,$K$7,FALSE)*(1+$F$3)^(B40-1)</f>
        <v>45418.612338159699</v>
      </c>
      <c r="F40" s="46">
        <f t="shared" si="17"/>
        <v>-2297.3713352985596</v>
      </c>
      <c r="G40" s="47">
        <f t="shared" si="18"/>
        <v>-918.94853411942381</v>
      </c>
      <c r="H40" s="47">
        <f t="shared" si="19"/>
        <v>-3216.3198694179837</v>
      </c>
      <c r="I40" s="46">
        <f t="shared" si="20"/>
        <v>-5169.0855044217587</v>
      </c>
      <c r="J40" s="47">
        <f t="shared" si="22"/>
        <v>-14060</v>
      </c>
      <c r="K40" s="47">
        <f t="shared" si="23"/>
        <v>-9285.8422582685616</v>
      </c>
      <c r="L40" s="47">
        <f t="shared" si="24"/>
        <v>-5136.7906446745128</v>
      </c>
      <c r="M40" s="47">
        <f t="shared" si="25"/>
        <v>40488.935658148985</v>
      </c>
      <c r="N40" s="47">
        <f t="shared" si="26"/>
        <v>28680.096450227466</v>
      </c>
      <c r="O40" s="34"/>
      <c r="P40" s="35"/>
      <c r="Q40" s="35"/>
      <c r="R40" s="33"/>
      <c r="S40" s="43"/>
      <c r="T40" s="19"/>
      <c r="U40" s="27">
        <f t="shared" si="27"/>
        <v>40488.935658148985</v>
      </c>
      <c r="V40" s="28">
        <f t="shared" si="28"/>
        <v>28680.096450227466</v>
      </c>
      <c r="W40" s="43"/>
      <c r="X40" s="19"/>
      <c r="Y40" s="42">
        <f t="shared" si="13"/>
        <v>0</v>
      </c>
      <c r="Z40" s="42">
        <f t="shared" si="14"/>
        <v>0</v>
      </c>
      <c r="AA40" s="96" t="e">
        <f t="shared" si="15"/>
        <v>#DIV/0!</v>
      </c>
      <c r="AB40" s="96" t="e">
        <f t="shared" si="16"/>
        <v>#DIV/0!</v>
      </c>
    </row>
    <row r="41" spans="1:28" hidden="1" outlineLevel="1" x14ac:dyDescent="0.25">
      <c r="A41" s="18"/>
      <c r="B41" s="38">
        <f t="shared" si="4"/>
        <v>9</v>
      </c>
      <c r="C41" s="54">
        <f t="shared" si="21"/>
        <v>121.52547625615703</v>
      </c>
      <c r="D41" s="33">
        <f>C41*VLOOKUP($A$33,Ταρίφες!$A$6:$G$23,$K$6,FALSE)*(1+$F$3)^(B41-1)</f>
        <v>60762.738128078519</v>
      </c>
      <c r="E41" s="33">
        <f>C41*VLOOKUP($A$33,Ταρίφες!$A$6:$G$23,$K$7,FALSE)*(1+$F$3)^(B41-1)</f>
        <v>44964.426214778105</v>
      </c>
      <c r="F41" s="46">
        <f t="shared" si="17"/>
        <v>-2343.318762004531</v>
      </c>
      <c r="G41" s="47">
        <f t="shared" si="18"/>
        <v>-937.32750480181244</v>
      </c>
      <c r="H41" s="47">
        <f t="shared" si="19"/>
        <v>-3280.6462668063436</v>
      </c>
      <c r="I41" s="46">
        <f t="shared" si="20"/>
        <v>-5272.4672145101949</v>
      </c>
      <c r="J41" s="47">
        <f t="shared" si="22"/>
        <v>-14060</v>
      </c>
      <c r="K41" s="47">
        <f t="shared" si="23"/>
        <v>-9065.9343787884663</v>
      </c>
      <c r="L41" s="47">
        <f t="shared" si="24"/>
        <v>-4958.3732813303586</v>
      </c>
      <c r="M41" s="47">
        <f t="shared" si="25"/>
        <v>39863.044001167174</v>
      </c>
      <c r="N41" s="47">
        <f t="shared" si="26"/>
        <v>28172.293185324866</v>
      </c>
      <c r="O41" s="34"/>
      <c r="P41" s="35"/>
      <c r="Q41" s="35"/>
      <c r="R41" s="33"/>
      <c r="S41" s="43"/>
      <c r="T41" s="19"/>
      <c r="U41" s="27">
        <f t="shared" si="27"/>
        <v>39863.044001167174</v>
      </c>
      <c r="V41" s="28">
        <f t="shared" si="28"/>
        <v>28172.293185324866</v>
      </c>
      <c r="W41" s="43"/>
      <c r="X41" s="19"/>
      <c r="Y41" s="42">
        <f t="shared" si="13"/>
        <v>0</v>
      </c>
      <c r="Z41" s="42">
        <f t="shared" si="14"/>
        <v>0</v>
      </c>
      <c r="AA41" s="96" t="e">
        <f t="shared" si="15"/>
        <v>#DIV/0!</v>
      </c>
      <c r="AB41" s="96" t="e">
        <f t="shared" si="16"/>
        <v>#DIV/0!</v>
      </c>
    </row>
    <row r="42" spans="1:28" hidden="1" outlineLevel="1" x14ac:dyDescent="0.25">
      <c r="A42" s="18"/>
      <c r="B42" s="38">
        <f t="shared" si="4"/>
        <v>10</v>
      </c>
      <c r="C42" s="54">
        <f t="shared" si="21"/>
        <v>120.31022149359546</v>
      </c>
      <c r="D42" s="33">
        <f>C42*VLOOKUP($A$33,Ταρίφες!$A$6:$G$23,$K$6,FALSE)*(1+$F$3)^(B42-1)</f>
        <v>60155.110746797734</v>
      </c>
      <c r="E42" s="33">
        <f>C42*VLOOKUP($A$33,Ταρίφες!$A$6:$G$23,$K$7,FALSE)*(1+$F$3)^(B42-1)</f>
        <v>44514.781952630321</v>
      </c>
      <c r="F42" s="46">
        <f t="shared" si="17"/>
        <v>-2390.1851372446217</v>
      </c>
      <c r="G42" s="47">
        <f t="shared" si="18"/>
        <v>-956.07405489784867</v>
      </c>
      <c r="H42" s="47">
        <f t="shared" si="19"/>
        <v>-3346.2591921424705</v>
      </c>
      <c r="I42" s="46">
        <f t="shared" si="20"/>
        <v>-5377.9165588003989</v>
      </c>
      <c r="J42" s="47">
        <f t="shared" si="22"/>
        <v>-14060</v>
      </c>
      <c r="K42" s="47">
        <f t="shared" si="23"/>
        <v>-8846.4157089652235</v>
      </c>
      <c r="L42" s="47">
        <f t="shared" si="24"/>
        <v>-4779.9302224816956</v>
      </c>
      <c r="M42" s="47">
        <f t="shared" si="25"/>
        <v>39238.260094747173</v>
      </c>
      <c r="N42" s="47">
        <f t="shared" si="26"/>
        <v>27664.416787063285</v>
      </c>
      <c r="O42" s="34"/>
      <c r="P42" s="35"/>
      <c r="Q42" s="35"/>
      <c r="R42" s="33"/>
      <c r="S42" s="43"/>
      <c r="T42" s="19"/>
      <c r="U42" s="27">
        <f t="shared" si="27"/>
        <v>39238.260094747173</v>
      </c>
      <c r="V42" s="28">
        <f t="shared" si="28"/>
        <v>27664.416787063285</v>
      </c>
      <c r="W42" s="43"/>
      <c r="X42" s="19"/>
      <c r="Y42" s="42">
        <f t="shared" si="13"/>
        <v>0</v>
      </c>
      <c r="Z42" s="42">
        <f t="shared" si="14"/>
        <v>0</v>
      </c>
      <c r="AA42" s="96" t="e">
        <f t="shared" si="15"/>
        <v>#DIV/0!</v>
      </c>
      <c r="AB42" s="96" t="e">
        <f t="shared" si="16"/>
        <v>#DIV/0!</v>
      </c>
    </row>
    <row r="43" spans="1:28" hidden="1" outlineLevel="1" x14ac:dyDescent="0.25">
      <c r="A43" s="18"/>
      <c r="B43" s="38">
        <f t="shared" si="4"/>
        <v>11</v>
      </c>
      <c r="C43" s="54">
        <f t="shared" si="21"/>
        <v>119.10711927865951</v>
      </c>
      <c r="D43" s="33">
        <f>C43*VLOOKUP($A$33,Ταρίφες!$A$6:$G$23,$K$6,FALSE)*(1+$F$3)^(B43-1)</f>
        <v>59553.559639329753</v>
      </c>
      <c r="E43" s="33">
        <f>C43*VLOOKUP($A$33,Ταρίφες!$A$6:$G$23,$K$7,FALSE)*(1+$F$3)^(B43-1)</f>
        <v>44069.634133104017</v>
      </c>
      <c r="F43" s="46">
        <f t="shared" si="17"/>
        <v>-2437.9888399895144</v>
      </c>
      <c r="G43" s="47">
        <f t="shared" si="18"/>
        <v>-975.1955359958057</v>
      </c>
      <c r="H43" s="47">
        <f t="shared" si="19"/>
        <v>-3413.18437598532</v>
      </c>
      <c r="I43" s="46">
        <f t="shared" si="20"/>
        <v>-5485.4748899764072</v>
      </c>
      <c r="J43" s="47">
        <f t="shared" si="22"/>
        <v>-14060</v>
      </c>
      <c r="K43" s="47">
        <f t="shared" si="23"/>
        <v>-8627.2461593195039</v>
      </c>
      <c r="L43" s="47">
        <f t="shared" si="24"/>
        <v>-4601.4255277008124</v>
      </c>
      <c r="M43" s="47">
        <f t="shared" si="25"/>
        <v>38614.469838063203</v>
      </c>
      <c r="N43" s="47">
        <f t="shared" si="26"/>
        <v>27156.364963456159</v>
      </c>
      <c r="O43" s="34"/>
      <c r="P43" s="35"/>
      <c r="Q43" s="35"/>
      <c r="R43" s="33"/>
      <c r="S43" s="43"/>
      <c r="T43" s="19"/>
      <c r="U43" s="27">
        <f t="shared" si="27"/>
        <v>38614.469838063203</v>
      </c>
      <c r="V43" s="28">
        <f t="shared" si="28"/>
        <v>27156.364963456159</v>
      </c>
      <c r="W43" s="43"/>
      <c r="X43" s="19"/>
      <c r="Y43" s="42">
        <f t="shared" si="13"/>
        <v>0</v>
      </c>
      <c r="Z43" s="42">
        <f t="shared" si="14"/>
        <v>0</v>
      </c>
      <c r="AA43" s="96" t="e">
        <f t="shared" si="15"/>
        <v>#DIV/0!</v>
      </c>
      <c r="AB43" s="96" t="e">
        <f t="shared" si="16"/>
        <v>#DIV/0!</v>
      </c>
    </row>
    <row r="44" spans="1:28" hidden="1" outlineLevel="1" x14ac:dyDescent="0.25">
      <c r="A44" s="18"/>
      <c r="B44" s="38">
        <f t="shared" si="4"/>
        <v>12</v>
      </c>
      <c r="C44" s="54">
        <f t="shared" si="21"/>
        <v>117.91604808587292</v>
      </c>
      <c r="D44" s="33">
        <f>C44*VLOOKUP($A$33,Ταρίφες!$A$6:$G$23,$K$6,FALSE)*(1+$F$3)^(B44-1)</f>
        <v>58958.024042936457</v>
      </c>
      <c r="E44" s="33">
        <f>C44*VLOOKUP($A$33,Ταρίφες!$A$6:$G$23,$K$7,FALSE)*(1+$F$3)^(B44-1)</f>
        <v>43628.93779177298</v>
      </c>
      <c r="F44" s="46">
        <f t="shared" si="17"/>
        <v>-2486.7486167893039</v>
      </c>
      <c r="G44" s="47">
        <f t="shared" si="18"/>
        <v>-994.69944671572159</v>
      </c>
      <c r="H44" s="47">
        <f t="shared" si="19"/>
        <v>-3481.4480635050259</v>
      </c>
      <c r="I44" s="46">
        <f t="shared" si="20"/>
        <v>-5595.1843877759338</v>
      </c>
      <c r="J44" s="47">
        <f t="shared" si="22"/>
        <v>-14060</v>
      </c>
      <c r="K44" s="47">
        <f t="shared" si="23"/>
        <v>-8408.3853173191219</v>
      </c>
      <c r="L44" s="47">
        <f t="shared" si="24"/>
        <v>-4422.8228920166184</v>
      </c>
      <c r="M44" s="47">
        <f t="shared" si="25"/>
        <v>37991.558210831347</v>
      </c>
      <c r="N44" s="47">
        <f t="shared" si="26"/>
        <v>26648.034384970375</v>
      </c>
      <c r="O44" s="34"/>
      <c r="P44" s="35"/>
      <c r="Q44" s="35"/>
      <c r="R44" s="33"/>
      <c r="S44" s="43"/>
      <c r="T44" s="19"/>
      <c r="U44" s="27">
        <f t="shared" si="27"/>
        <v>37991.558210831347</v>
      </c>
      <c r="V44" s="28">
        <f t="shared" si="28"/>
        <v>26648.034384970375</v>
      </c>
      <c r="W44" s="43"/>
      <c r="X44" s="19"/>
      <c r="Y44" s="42">
        <f t="shared" si="13"/>
        <v>0</v>
      </c>
      <c r="Z44" s="42">
        <f t="shared" si="14"/>
        <v>0</v>
      </c>
      <c r="AA44" s="96" t="e">
        <f t="shared" si="15"/>
        <v>#DIV/0!</v>
      </c>
      <c r="AB44" s="96" t="e">
        <f t="shared" si="16"/>
        <v>#DIV/0!</v>
      </c>
    </row>
    <row r="45" spans="1:28" hidden="1" outlineLevel="1" x14ac:dyDescent="0.25">
      <c r="A45" s="18"/>
      <c r="B45" s="38">
        <f t="shared" si="4"/>
        <v>13</v>
      </c>
      <c r="C45" s="54">
        <f t="shared" si="21"/>
        <v>116.73688760501419</v>
      </c>
      <c r="D45" s="33">
        <f>C45*VLOOKUP($A$33,Ταρίφες!$A$6:$G$23,$K$6,FALSE)*(1+$F$3)^(B45-1)</f>
        <v>58368.443802507092</v>
      </c>
      <c r="E45" s="33">
        <f>C45*VLOOKUP($A$33,Ταρίφες!$A$6:$G$23,$K$7,FALSE)*(1+$F$3)^(B45-1)</f>
        <v>43192.648413855248</v>
      </c>
      <c r="F45" s="46">
        <f t="shared" si="17"/>
        <v>-2536.4835891250905</v>
      </c>
      <c r="G45" s="47">
        <f t="shared" si="18"/>
        <v>-1014.5934356500362</v>
      </c>
      <c r="H45" s="47">
        <f t="shared" si="19"/>
        <v>-3551.0770247751266</v>
      </c>
      <c r="I45" s="46">
        <f t="shared" si="20"/>
        <v>-5707.0880755314538</v>
      </c>
      <c r="J45" s="47">
        <f t="shared" si="22"/>
        <v>-14060</v>
      </c>
      <c r="K45" s="47">
        <f t="shared" si="23"/>
        <v>-8189.7924361306004</v>
      </c>
      <c r="L45" s="47">
        <f t="shared" si="24"/>
        <v>-4244.0856350811209</v>
      </c>
      <c r="M45" s="47">
        <f t="shared" si="25"/>
        <v>37369.409241294787</v>
      </c>
      <c r="N45" s="47">
        <f t="shared" si="26"/>
        <v>26139.320653692419</v>
      </c>
      <c r="O45" s="34"/>
      <c r="P45" s="35"/>
      <c r="Q45" s="35"/>
      <c r="R45" s="33"/>
      <c r="S45" s="43"/>
      <c r="T45" s="19"/>
      <c r="U45" s="27">
        <f t="shared" si="27"/>
        <v>37369.409241294787</v>
      </c>
      <c r="V45" s="28">
        <f t="shared" si="28"/>
        <v>26139.320653692419</v>
      </c>
      <c r="W45" s="43"/>
      <c r="X45" s="19"/>
      <c r="Y45" s="42">
        <f t="shared" si="13"/>
        <v>0</v>
      </c>
      <c r="Z45" s="42">
        <f t="shared" si="14"/>
        <v>0</v>
      </c>
      <c r="AA45" s="96" t="e">
        <f t="shared" si="15"/>
        <v>#DIV/0!</v>
      </c>
      <c r="AB45" s="96" t="e">
        <f t="shared" si="16"/>
        <v>#DIV/0!</v>
      </c>
    </row>
    <row r="46" spans="1:28" hidden="1" outlineLevel="1" x14ac:dyDescent="0.25">
      <c r="A46" s="18"/>
      <c r="B46" s="38">
        <f t="shared" si="4"/>
        <v>14</v>
      </c>
      <c r="C46" s="54">
        <f t="shared" si="21"/>
        <v>115.56951872896404</v>
      </c>
      <c r="D46" s="33">
        <f>C46*VLOOKUP($A$33,Ταρίφες!$A$6:$G$23,$K$6,FALSE)*(1+$F$3)^(B46-1)</f>
        <v>57784.759364482023</v>
      </c>
      <c r="E46" s="33">
        <f>C46*VLOOKUP($A$33,Ταρίφες!$A$6:$G$23,$K$7,FALSE)*(1+$F$3)^(B46-1)</f>
        <v>42760.721929716696</v>
      </c>
      <c r="F46" s="46">
        <f t="shared" si="17"/>
        <v>-2587.213260907592</v>
      </c>
      <c r="G46" s="47">
        <f t="shared" si="18"/>
        <v>-1034.8853043630368</v>
      </c>
      <c r="H46" s="47">
        <f t="shared" si="19"/>
        <v>-3622.098565270629</v>
      </c>
      <c r="I46" s="46">
        <f t="shared" si="20"/>
        <v>-5821.2298370420822</v>
      </c>
      <c r="J46" s="47">
        <f t="shared" si="22"/>
        <v>-14060</v>
      </c>
      <c r="K46" s="47">
        <f t="shared" si="23"/>
        <v>-7971.4264231936586</v>
      </c>
      <c r="L46" s="47">
        <f t="shared" si="24"/>
        <v>-4065.176690154673</v>
      </c>
      <c r="M46" s="47">
        <f t="shared" si="25"/>
        <v>36747.905973705019</v>
      </c>
      <c r="N46" s="47">
        <f t="shared" si="26"/>
        <v>25630.118271978685</v>
      </c>
      <c r="O46" s="34"/>
      <c r="P46" s="35"/>
      <c r="Q46" s="35"/>
      <c r="R46" s="33"/>
      <c r="S46" s="43"/>
      <c r="T46" s="19"/>
      <c r="U46" s="27">
        <f t="shared" si="27"/>
        <v>36747.905973705019</v>
      </c>
      <c r="V46" s="28">
        <f t="shared" si="28"/>
        <v>25630.118271978685</v>
      </c>
      <c r="W46" s="43"/>
      <c r="X46" s="19"/>
      <c r="Y46" s="42">
        <f t="shared" si="13"/>
        <v>0</v>
      </c>
      <c r="Z46" s="42">
        <f t="shared" si="14"/>
        <v>0</v>
      </c>
      <c r="AA46" s="96" t="e">
        <f t="shared" si="15"/>
        <v>#DIV/0!</v>
      </c>
      <c r="AB46" s="96" t="e">
        <f t="shared" si="16"/>
        <v>#DIV/0!</v>
      </c>
    </row>
    <row r="47" spans="1:28" hidden="1" outlineLevel="1" x14ac:dyDescent="0.25">
      <c r="A47" s="18"/>
      <c r="B47" s="38">
        <f t="shared" si="4"/>
        <v>15</v>
      </c>
      <c r="C47" s="54">
        <f t="shared" si="21"/>
        <v>114.4138235416744</v>
      </c>
      <c r="D47" s="33">
        <f>C47*VLOOKUP($A$33,Ταρίφες!$A$6:$G$23,$K$6,FALSE)*(1+$F$3)^(B47-1)</f>
        <v>57206.9117708372</v>
      </c>
      <c r="E47" s="33">
        <f>C47*VLOOKUP($A$33,Ταρίφες!$A$6:$G$23,$K$7,FALSE)*(1+$F$3)^(B47-1)</f>
        <v>42333.114710419526</v>
      </c>
      <c r="F47" s="46">
        <f t="shared" si="17"/>
        <v>-2638.9575261257442</v>
      </c>
      <c r="G47" s="47">
        <f t="shared" si="18"/>
        <v>-1055.5830104502977</v>
      </c>
      <c r="H47" s="47">
        <f t="shared" si="19"/>
        <v>-3694.5405365760421</v>
      </c>
      <c r="I47" s="46">
        <f t="shared" si="20"/>
        <v>-5937.6544337829246</v>
      </c>
      <c r="J47" s="47">
        <f t="shared" si="22"/>
        <v>-14060</v>
      </c>
      <c r="K47" s="47">
        <f t="shared" si="23"/>
        <v>-7753.2458286145702</v>
      </c>
      <c r="L47" s="47">
        <f t="shared" si="24"/>
        <v>-3886.0585929059748</v>
      </c>
      <c r="M47" s="47">
        <f t="shared" si="25"/>
        <v>36126.930435287621</v>
      </c>
      <c r="N47" s="47">
        <f t="shared" si="26"/>
        <v>25120.320610578543</v>
      </c>
      <c r="O47" s="34"/>
      <c r="P47" s="35"/>
      <c r="Q47" s="35"/>
      <c r="R47" s="33"/>
      <c r="S47" s="43"/>
      <c r="T47" s="19"/>
      <c r="U47" s="27">
        <f t="shared" si="27"/>
        <v>36126.930435287621</v>
      </c>
      <c r="V47" s="28">
        <f t="shared" si="28"/>
        <v>25120.320610578543</v>
      </c>
      <c r="W47" s="43"/>
      <c r="X47" s="19"/>
      <c r="Y47" s="42">
        <f t="shared" si="13"/>
        <v>0</v>
      </c>
      <c r="Z47" s="42">
        <f t="shared" si="14"/>
        <v>0</v>
      </c>
      <c r="AA47" s="96" t="e">
        <f t="shared" si="15"/>
        <v>#DIV/0!</v>
      </c>
      <c r="AB47" s="96" t="e">
        <f t="shared" si="16"/>
        <v>#DIV/0!</v>
      </c>
    </row>
    <row r="48" spans="1:28" hidden="1" outlineLevel="1" x14ac:dyDescent="0.25">
      <c r="A48" s="18"/>
      <c r="B48" s="38">
        <f t="shared" si="4"/>
        <v>16</v>
      </c>
      <c r="C48" s="54">
        <f t="shared" si="21"/>
        <v>113.26968530625766</v>
      </c>
      <c r="D48" s="33">
        <f>C48*VLOOKUP($A$33,Ταρίφες!$A$6:$G$23,$K$6,FALSE)*(1+$F$3)^(B48-1)</f>
        <v>56634.842653128828</v>
      </c>
      <c r="E48" s="33">
        <f>C48*VLOOKUP($A$33,Ταρίφες!$A$6:$G$23,$K$7,FALSE)*(1+$F$3)^(B48-1)</f>
        <v>41909.78356331533</v>
      </c>
      <c r="F48" s="46">
        <f t="shared" si="17"/>
        <v>-2691.7366766482583</v>
      </c>
      <c r="G48" s="47">
        <f t="shared" si="18"/>
        <v>-1076.6946706593035</v>
      </c>
      <c r="H48" s="47">
        <f t="shared" si="19"/>
        <v>-3768.4313473075617</v>
      </c>
      <c r="I48" s="46">
        <f t="shared" si="20"/>
        <v>-6056.4075224585813</v>
      </c>
      <c r="J48" s="47">
        <f t="shared" si="22"/>
        <v>-14060</v>
      </c>
      <c r="K48" s="47">
        <f t="shared" si="23"/>
        <v>-7535.2088333743332</v>
      </c>
      <c r="L48" s="47">
        <f t="shared" si="24"/>
        <v>-3706.693470022823</v>
      </c>
      <c r="M48" s="47">
        <f t="shared" si="25"/>
        <v>35506.363602680794</v>
      </c>
      <c r="N48" s="47">
        <f t="shared" si="26"/>
        <v>24609.819876218804</v>
      </c>
      <c r="O48" s="34"/>
      <c r="P48" s="35"/>
      <c r="Q48" s="35"/>
      <c r="R48" s="33"/>
      <c r="S48" s="43"/>
      <c r="T48" s="19"/>
      <c r="U48" s="27">
        <f t="shared" si="27"/>
        <v>35506.363602680794</v>
      </c>
      <c r="V48" s="28">
        <f t="shared" si="28"/>
        <v>24609.819876218804</v>
      </c>
      <c r="W48" s="43"/>
      <c r="X48" s="19"/>
      <c r="Y48" s="42">
        <f t="shared" si="13"/>
        <v>0</v>
      </c>
      <c r="Z48" s="42">
        <f t="shared" si="14"/>
        <v>0</v>
      </c>
      <c r="AA48" s="96" t="e">
        <f t="shared" si="15"/>
        <v>#DIV/0!</v>
      </c>
      <c r="AB48" s="96" t="e">
        <f t="shared" si="16"/>
        <v>#DIV/0!</v>
      </c>
    </row>
    <row r="49" spans="1:28" hidden="1" outlineLevel="1" x14ac:dyDescent="0.25">
      <c r="A49" s="18"/>
      <c r="B49" s="38">
        <f t="shared" si="4"/>
        <v>17</v>
      </c>
      <c r="C49" s="54">
        <f t="shared" si="21"/>
        <v>112.13698845319507</v>
      </c>
      <c r="D49" s="33">
        <f>C49*VLOOKUP($A$33,Ταρίφες!$A$6:$G$23,$K$6,FALSE)*(1+$F$3)^(B49-1)</f>
        <v>56068.494226597533</v>
      </c>
      <c r="E49" s="33">
        <f>C49*VLOOKUP($A$33,Ταρίφες!$A$6:$G$23,$K$7,FALSE)*(1+$F$3)^(B49-1)</f>
        <v>41490.685727682176</v>
      </c>
      <c r="F49" s="46">
        <f t="shared" si="17"/>
        <v>-2745.5714101812241</v>
      </c>
      <c r="G49" s="47">
        <f t="shared" si="18"/>
        <v>-1098.2285640724897</v>
      </c>
      <c r="H49" s="47">
        <f t="shared" si="19"/>
        <v>-3843.7999742537136</v>
      </c>
      <c r="I49" s="46">
        <f t="shared" si="20"/>
        <v>-6177.5356729077539</v>
      </c>
      <c r="J49" s="47">
        <f t="shared" si="22"/>
        <v>-14060</v>
      </c>
      <c r="K49" s="47">
        <f t="shared" si="23"/>
        <v>-7317.2732373474119</v>
      </c>
      <c r="L49" s="47">
        <f t="shared" si="24"/>
        <v>-3527.0430276294187</v>
      </c>
      <c r="M49" s="47">
        <f t="shared" si="25"/>
        <v>34886.085367834938</v>
      </c>
      <c r="N49" s="47">
        <f t="shared" si="26"/>
        <v>24098.507078637576</v>
      </c>
      <c r="O49" s="34"/>
      <c r="P49" s="35"/>
      <c r="Q49" s="35"/>
      <c r="R49" s="33"/>
      <c r="S49" s="43"/>
      <c r="T49" s="19"/>
      <c r="U49" s="27">
        <f t="shared" si="27"/>
        <v>34886.085367834938</v>
      </c>
      <c r="V49" s="28">
        <f t="shared" si="28"/>
        <v>24098.507078637576</v>
      </c>
      <c r="W49" s="43"/>
      <c r="X49" s="19"/>
      <c r="Y49" s="42">
        <f t="shared" si="13"/>
        <v>0</v>
      </c>
      <c r="Z49" s="42">
        <f t="shared" si="14"/>
        <v>0</v>
      </c>
      <c r="AA49" s="96" t="e">
        <f t="shared" si="15"/>
        <v>#DIV/0!</v>
      </c>
      <c r="AB49" s="96" t="e">
        <f t="shared" si="16"/>
        <v>#DIV/0!</v>
      </c>
    </row>
    <row r="50" spans="1:28" hidden="1" outlineLevel="1" x14ac:dyDescent="0.25">
      <c r="A50" s="18"/>
      <c r="B50" s="38">
        <f t="shared" si="4"/>
        <v>18</v>
      </c>
      <c r="C50" s="54">
        <f t="shared" si="21"/>
        <v>111.01561856866311</v>
      </c>
      <c r="D50" s="33">
        <f>C50*VLOOKUP($A$33,Ταρίφες!$A$6:$G$23,$K$6,FALSE)*(1+$F$3)^(B50-1)</f>
        <v>55507.809284331561</v>
      </c>
      <c r="E50" s="33">
        <f>C50*VLOOKUP($A$33,Ταρίφες!$A$6:$G$23,$K$7,FALSE)*(1+$F$3)^(B50-1)</f>
        <v>41075.778870405353</v>
      </c>
      <c r="F50" s="46">
        <f t="shared" si="17"/>
        <v>-2800.4828383848489</v>
      </c>
      <c r="G50" s="47">
        <f t="shared" si="18"/>
        <v>-1120.1931353539396</v>
      </c>
      <c r="H50" s="47">
        <f t="shared" si="19"/>
        <v>-3920.6759737387883</v>
      </c>
      <c r="I50" s="46">
        <f t="shared" si="20"/>
        <v>-6301.0863863659097</v>
      </c>
      <c r="J50" s="47">
        <f t="shared" si="22"/>
        <v>-14060</v>
      </c>
      <c r="K50" s="47">
        <f t="shared" si="23"/>
        <v>-7099.3964471269001</v>
      </c>
      <c r="L50" s="47">
        <f t="shared" si="24"/>
        <v>-3347.0685395060855</v>
      </c>
      <c r="M50" s="47">
        <f t="shared" si="25"/>
        <v>34265.974503361176</v>
      </c>
      <c r="N50" s="47">
        <f t="shared" si="26"/>
        <v>23586.271997055781</v>
      </c>
      <c r="O50" s="34"/>
      <c r="P50" s="35"/>
      <c r="Q50" s="35"/>
      <c r="R50" s="33"/>
      <c r="S50" s="43"/>
      <c r="T50" s="19"/>
      <c r="U50" s="27">
        <f t="shared" si="27"/>
        <v>34265.974503361176</v>
      </c>
      <c r="V50" s="28">
        <f t="shared" si="28"/>
        <v>23586.271997055781</v>
      </c>
      <c r="W50" s="43"/>
      <c r="X50" s="19"/>
      <c r="Y50" s="42">
        <f t="shared" si="13"/>
        <v>0</v>
      </c>
      <c r="Z50" s="42">
        <f t="shared" si="14"/>
        <v>0</v>
      </c>
      <c r="AA50" s="96" t="e">
        <f t="shared" si="15"/>
        <v>#DIV/0!</v>
      </c>
      <c r="AB50" s="96" t="e">
        <f t="shared" si="16"/>
        <v>#DIV/0!</v>
      </c>
    </row>
    <row r="51" spans="1:28" hidden="1" outlineLevel="1" x14ac:dyDescent="0.25">
      <c r="A51" s="18"/>
      <c r="B51" s="38">
        <f t="shared" si="4"/>
        <v>19</v>
      </c>
      <c r="C51" s="54">
        <f t="shared" si="21"/>
        <v>109.90546238297648</v>
      </c>
      <c r="D51" s="33">
        <f>C51*VLOOKUP($A$33,Ταρίφες!$A$6:$G$23,$K$6,FALSE)*(1+$F$3)^(B51-1)</f>
        <v>54952.731191488238</v>
      </c>
      <c r="E51" s="33">
        <f>C51*VLOOKUP($A$33,Ταρίφες!$A$6:$G$23,$K$7,FALSE)*(1+$F$3)^(B51-1)</f>
        <v>40665.021081701299</v>
      </c>
      <c r="F51" s="46">
        <f t="shared" si="17"/>
        <v>-2856.4924951525454</v>
      </c>
      <c r="G51" s="47">
        <f t="shared" si="18"/>
        <v>-1142.5969980610182</v>
      </c>
      <c r="H51" s="47">
        <f t="shared" si="19"/>
        <v>-3999.0894932135634</v>
      </c>
      <c r="I51" s="46">
        <f t="shared" si="20"/>
        <v>-6427.1081140932274</v>
      </c>
      <c r="J51" s="47">
        <f t="shared" si="22"/>
        <v>-14060</v>
      </c>
      <c r="K51" s="47">
        <f t="shared" si="23"/>
        <v>-6881.5354636516495</v>
      </c>
      <c r="L51" s="47">
        <f t="shared" si="24"/>
        <v>-3166.7308351070456</v>
      </c>
      <c r="M51" s="47">
        <f t="shared" si="25"/>
        <v>33645.908627316232</v>
      </c>
      <c r="N51" s="47">
        <f t="shared" si="26"/>
        <v>23073.003146073897</v>
      </c>
      <c r="O51" s="34"/>
      <c r="P51" s="35"/>
      <c r="Q51" s="35"/>
      <c r="R51" s="33"/>
      <c r="S51" s="43"/>
      <c r="T51" s="19"/>
      <c r="U51" s="27">
        <f t="shared" si="27"/>
        <v>33645.908627316232</v>
      </c>
      <c r="V51" s="28">
        <f t="shared" si="28"/>
        <v>23073.003146073897</v>
      </c>
      <c r="W51" s="43"/>
      <c r="X51" s="19"/>
      <c r="Y51" s="42">
        <f t="shared" si="13"/>
        <v>0</v>
      </c>
      <c r="Z51" s="42">
        <f t="shared" si="14"/>
        <v>0</v>
      </c>
      <c r="AA51" s="96" t="e">
        <f t="shared" si="15"/>
        <v>#DIV/0!</v>
      </c>
      <c r="AB51" s="96" t="e">
        <f t="shared" si="16"/>
        <v>#DIV/0!</v>
      </c>
    </row>
    <row r="52" spans="1:28" hidden="1" outlineLevel="1" x14ac:dyDescent="0.25">
      <c r="A52" s="18"/>
      <c r="B52" s="38">
        <f t="shared" si="4"/>
        <v>20</v>
      </c>
      <c r="C52" s="54">
        <f t="shared" si="21"/>
        <v>108.80640775914671</v>
      </c>
      <c r="D52" s="33">
        <f>C52*VLOOKUP($A$33,Ταρίφες!$A$6:$G$23,$K$6,FALSE)*(1+$F$3)^(B52-1)</f>
        <v>54403.203879573353</v>
      </c>
      <c r="E52" s="33">
        <f>C52*VLOOKUP($A$33,Ταρίφες!$A$6:$G$23,$K$7,FALSE)*(1+$F$3)^(B52-1)</f>
        <v>40258.370870884282</v>
      </c>
      <c r="F52" s="46">
        <f t="shared" si="17"/>
        <v>-2913.6223450555963</v>
      </c>
      <c r="G52" s="47">
        <f t="shared" si="18"/>
        <v>-1165.4489380222385</v>
      </c>
      <c r="H52" s="47">
        <f t="shared" si="19"/>
        <v>-4079.0712830778348</v>
      </c>
      <c r="I52" s="46">
        <f t="shared" si="20"/>
        <v>-6555.6502763750914</v>
      </c>
      <c r="J52" s="47">
        <f t="shared" si="22"/>
        <v>-14060</v>
      </c>
      <c r="K52" s="47">
        <f t="shared" si="23"/>
        <v>-6663.646869631074</v>
      </c>
      <c r="L52" s="47">
        <f t="shared" si="24"/>
        <v>-2985.9902873719157</v>
      </c>
      <c r="M52" s="47">
        <f t="shared" si="25"/>
        <v>33025.764167411515</v>
      </c>
      <c r="N52" s="47">
        <f t="shared" si="26"/>
        <v>22558.587740981606</v>
      </c>
      <c r="O52" s="34"/>
      <c r="P52" s="35"/>
      <c r="Q52" s="35"/>
      <c r="R52" s="33"/>
      <c r="S52" s="43"/>
      <c r="T52" s="19"/>
      <c r="U52" s="27">
        <f>M52</f>
        <v>33025.764167411515</v>
      </c>
      <c r="V52" s="28">
        <f t="shared" si="28"/>
        <v>22558.587740981606</v>
      </c>
      <c r="W52" s="43"/>
      <c r="X52" s="19"/>
      <c r="Y52" s="42">
        <f t="shared" si="13"/>
        <v>0</v>
      </c>
      <c r="Z52" s="42">
        <f t="shared" si="14"/>
        <v>0</v>
      </c>
      <c r="AA52" s="96" t="e">
        <f t="shared" si="15"/>
        <v>#DIV/0!</v>
      </c>
      <c r="AB52" s="96" t="e">
        <f t="shared" si="16"/>
        <v>#DIV/0!</v>
      </c>
    </row>
    <row r="53" spans="1:28" hidden="1" outlineLevel="1" x14ac:dyDescent="0.25">
      <c r="A53" s="40"/>
      <c r="B53" s="50"/>
      <c r="C53" s="56"/>
      <c r="D53" s="22"/>
      <c r="E53" s="22"/>
      <c r="F53" s="48"/>
      <c r="G53" s="51"/>
      <c r="H53" s="51"/>
      <c r="I53" s="48"/>
      <c r="J53" s="51"/>
      <c r="K53" s="51"/>
      <c r="L53" s="51"/>
      <c r="M53" s="51"/>
      <c r="N53" s="51"/>
      <c r="O53" s="17"/>
      <c r="P53" s="25"/>
      <c r="Q53" s="25"/>
      <c r="R53" s="22"/>
      <c r="S53" s="52"/>
      <c r="T53" s="44"/>
      <c r="U53" s="26">
        <f>O54</f>
        <v>-322750</v>
      </c>
      <c r="V53" s="26">
        <f>R54</f>
        <v>-255437.5</v>
      </c>
      <c r="W53" s="52"/>
      <c r="X53" s="44"/>
      <c r="Y53" s="42">
        <f t="shared" si="13"/>
        <v>0</v>
      </c>
      <c r="Z53" s="42">
        <f t="shared" si="14"/>
        <v>0</v>
      </c>
      <c r="AA53" s="96" t="e">
        <f t="shared" si="15"/>
        <v>#DIV/0!</v>
      </c>
      <c r="AB53" s="96" t="e">
        <f t="shared" si="16"/>
        <v>#DIV/0!</v>
      </c>
    </row>
    <row r="54" spans="1:28" collapsed="1" x14ac:dyDescent="0.25">
      <c r="A54" s="32" t="str">
        <f>Ταρίφες!A12</f>
        <v>Γ Τριμ. 2010</v>
      </c>
      <c r="B54" s="38">
        <f>1</f>
        <v>1</v>
      </c>
      <c r="C54" s="54">
        <f>$F$8*$K$2/1000</f>
        <v>131.69999999999999</v>
      </c>
      <c r="D54" s="33">
        <f>C54*VLOOKUP($A$54,Ταρίφες!$A$6:$G$23,$K$6,FALSE)*(1+$F$3)^(B54-1)</f>
        <v>64532.999999999993</v>
      </c>
      <c r="E54" s="33">
        <f>C54*VLOOKUP($A$54,Ταρίφες!$A$6:$G$23,$K$7,FALSE)*(1+$F$3)^(B54-1)</f>
        <v>46753.499999999993</v>
      </c>
      <c r="F54" s="46">
        <f t="shared" ref="F54:F73" si="29">-($K$5*(1+$F$4)^(B54-$B$12))</f>
        <v>-2000</v>
      </c>
      <c r="G54" s="47">
        <f t="shared" ref="G54:G73" si="30">-$K$2*10*(1+$F$4)^(B54-$B$12)</f>
        <v>-800</v>
      </c>
      <c r="H54" s="47">
        <f t="shared" ref="H54:H73" si="31">-$K$4*(1+$F$4)^(B54-$B$12)</f>
        <v>-2800</v>
      </c>
      <c r="I54" s="46">
        <f t="shared" ref="I54:I73" si="32">-(4500*(1+$F$4)^(B54-$B$12))</f>
        <v>-4500</v>
      </c>
      <c r="J54" s="47">
        <f>$O$54*4%</f>
        <v>-12910</v>
      </c>
      <c r="K54" s="47">
        <f>-(D54+SUM(F54:J54))*$F$5</f>
        <v>-10795.979999999998</v>
      </c>
      <c r="L54" s="47">
        <f>-(E54+SUM(F54:J54))*$F$5</f>
        <v>-6173.3099999999986</v>
      </c>
      <c r="M54" s="47">
        <f>D54+SUM(F54:I54)+K54</f>
        <v>43637.02</v>
      </c>
      <c r="N54" s="47">
        <f>E54+SUM(F54:I54)+L54</f>
        <v>30480.189999999995</v>
      </c>
      <c r="O54" s="35">
        <f>-VLOOKUP(A54,'Κόστος Κατασκευής'!$A$4:$Q$17,$K$8,FALSE)</f>
        <v>-322750</v>
      </c>
      <c r="P54" s="36">
        <f>$K$3</f>
        <v>96000</v>
      </c>
      <c r="Q54" s="36">
        <f>Q33*15/16</f>
        <v>-28687.500000000004</v>
      </c>
      <c r="R54" s="37">
        <f>SUM(O54:Q54)</f>
        <v>-255437.5</v>
      </c>
      <c r="S54" s="42">
        <f>IRR(U53:U73)</f>
        <v>0.10688401984215323</v>
      </c>
      <c r="T54" s="42">
        <f>IRR(V53:V73)</f>
        <v>8.5393526076209758E-2</v>
      </c>
      <c r="U54" s="27">
        <f>M54</f>
        <v>43637.02</v>
      </c>
      <c r="V54" s="28">
        <f>N54</f>
        <v>30480.189999999995</v>
      </c>
      <c r="W54" s="42">
        <f>'IRR ΔΣ Ισχύον'!S54</f>
        <v>0.11969630145193899</v>
      </c>
      <c r="X54" s="42">
        <f>'IRR ΔΣ Ισχύον'!T54</f>
        <v>0.12286245717775035</v>
      </c>
      <c r="Y54" s="42">
        <f t="shared" si="13"/>
        <v>-1.2812281609785758E-2</v>
      </c>
      <c r="Z54" s="42">
        <f t="shared" si="14"/>
        <v>-3.7468931101540592E-2</v>
      </c>
      <c r="AA54" s="96">
        <f t="shared" si="15"/>
        <v>0.29744384198295892</v>
      </c>
      <c r="AB54" s="96">
        <f t="shared" si="16"/>
        <v>0.20855925639039505</v>
      </c>
    </row>
    <row r="55" spans="1:28" hidden="1" outlineLevel="1" x14ac:dyDescent="0.25">
      <c r="A55" s="18"/>
      <c r="B55" s="38">
        <f>B54+1</f>
        <v>2</v>
      </c>
      <c r="C55" s="54">
        <f t="shared" ref="C55:C73" si="33">C54*(1-$F$2)</f>
        <v>130.38299999999998</v>
      </c>
      <c r="D55" s="33">
        <f>C55*VLOOKUP($A$54,Ταρίφες!$A$6:$G$23,$K$6,FALSE)*(1+$F$3)^(B55-1)</f>
        <v>63887.669999999991</v>
      </c>
      <c r="E55" s="33">
        <f>C55*VLOOKUP($A$54,Ταρίφες!$A$6:$G$23,$K$7,FALSE)*(1+$F$3)^(B55-1)</f>
        <v>46285.964999999997</v>
      </c>
      <c r="F55" s="46">
        <f t="shared" si="29"/>
        <v>-2040</v>
      </c>
      <c r="G55" s="47">
        <f t="shared" si="30"/>
        <v>-816</v>
      </c>
      <c r="H55" s="47">
        <f t="shared" si="31"/>
        <v>-2856</v>
      </c>
      <c r="I55" s="46">
        <f t="shared" si="32"/>
        <v>-4590</v>
      </c>
      <c r="J55" s="47">
        <f t="shared" ref="J55:J73" si="34">$O$54*4%</f>
        <v>-12910</v>
      </c>
      <c r="K55" s="47">
        <f t="shared" ref="K55:K73" si="35">-(D55+SUM(F55:J55))*$F$5</f>
        <v>-10575.674199999998</v>
      </c>
      <c r="L55" s="47">
        <f t="shared" ref="L55:L73" si="36">-(E55+SUM(F55:J55))*$F$5</f>
        <v>-5999.2308999999996</v>
      </c>
      <c r="M55" s="47">
        <f t="shared" ref="M55:M73" si="37">D55+SUM(F55:I55)+K55</f>
        <v>43009.99579999999</v>
      </c>
      <c r="N55" s="47">
        <f t="shared" ref="N55:N73" si="38">E55+SUM(F55:I55)+L55</f>
        <v>29984.734099999998</v>
      </c>
      <c r="O55" s="34"/>
      <c r="P55" s="35"/>
      <c r="Q55" s="35"/>
      <c r="R55" s="33"/>
      <c r="S55" s="43"/>
      <c r="T55" s="19"/>
      <c r="U55" s="27">
        <f t="shared" ref="U55:U72" si="39">M55</f>
        <v>43009.99579999999</v>
      </c>
      <c r="V55" s="28">
        <f t="shared" ref="V55:V73" si="40">N55</f>
        <v>29984.734099999998</v>
      </c>
      <c r="W55" s="43"/>
      <c r="X55" s="19"/>
      <c r="Y55" s="42">
        <f t="shared" si="13"/>
        <v>0</v>
      </c>
      <c r="Z55" s="42">
        <f t="shared" si="14"/>
        <v>0</v>
      </c>
      <c r="AA55" s="96" t="e">
        <f t="shared" si="15"/>
        <v>#DIV/0!</v>
      </c>
      <c r="AB55" s="96" t="e">
        <f t="shared" si="16"/>
        <v>#DIV/0!</v>
      </c>
    </row>
    <row r="56" spans="1:28" hidden="1" outlineLevel="1" x14ac:dyDescent="0.25">
      <c r="A56" s="18"/>
      <c r="B56" s="38">
        <f t="shared" ref="B56:B73" si="41">B55+1</f>
        <v>3</v>
      </c>
      <c r="C56" s="54">
        <f t="shared" si="33"/>
        <v>129.07916999999998</v>
      </c>
      <c r="D56" s="33">
        <f>C56*VLOOKUP($A$54,Ταρίφες!$A$6:$G$23,$K$6,FALSE)*(1+$F$3)^(B56-1)</f>
        <v>63248.79329999999</v>
      </c>
      <c r="E56" s="33">
        <f>C56*VLOOKUP($A$54,Ταρίφες!$A$6:$G$23,$K$7,FALSE)*(1+$F$3)^(B56-1)</f>
        <v>45823.105349999991</v>
      </c>
      <c r="F56" s="46">
        <f t="shared" si="29"/>
        <v>-2080.8000000000002</v>
      </c>
      <c r="G56" s="47">
        <f t="shared" si="30"/>
        <v>-832.31999999999994</v>
      </c>
      <c r="H56" s="47">
        <f t="shared" si="31"/>
        <v>-2913.12</v>
      </c>
      <c r="I56" s="46">
        <f t="shared" si="32"/>
        <v>-4681.8</v>
      </c>
      <c r="J56" s="47">
        <f t="shared" si="34"/>
        <v>-12910</v>
      </c>
      <c r="K56" s="47">
        <f t="shared" si="35"/>
        <v>-10355.995857999998</v>
      </c>
      <c r="L56" s="47">
        <f t="shared" si="36"/>
        <v>-5825.3169909999979</v>
      </c>
      <c r="M56" s="47">
        <f t="shared" si="37"/>
        <v>42384.757441999987</v>
      </c>
      <c r="N56" s="47">
        <f t="shared" si="38"/>
        <v>29489.74835899999</v>
      </c>
      <c r="O56" s="34"/>
      <c r="P56" s="35"/>
      <c r="Q56" s="35"/>
      <c r="R56" s="33"/>
      <c r="S56" s="43"/>
      <c r="T56" s="19"/>
      <c r="U56" s="27">
        <f t="shared" si="39"/>
        <v>42384.757441999987</v>
      </c>
      <c r="V56" s="28">
        <f t="shared" si="40"/>
        <v>29489.74835899999</v>
      </c>
      <c r="W56" s="43"/>
      <c r="X56" s="19"/>
      <c r="Y56" s="42">
        <f t="shared" si="13"/>
        <v>0</v>
      </c>
      <c r="Z56" s="42">
        <f t="shared" si="14"/>
        <v>0</v>
      </c>
      <c r="AA56" s="96" t="e">
        <f t="shared" si="15"/>
        <v>#DIV/0!</v>
      </c>
      <c r="AB56" s="96" t="e">
        <f t="shared" si="16"/>
        <v>#DIV/0!</v>
      </c>
    </row>
    <row r="57" spans="1:28" hidden="1" outlineLevel="1" x14ac:dyDescent="0.25">
      <c r="A57" s="18"/>
      <c r="B57" s="38">
        <f t="shared" si="41"/>
        <v>4</v>
      </c>
      <c r="C57" s="54">
        <f t="shared" si="33"/>
        <v>127.78837829999998</v>
      </c>
      <c r="D57" s="33">
        <f>C57*VLOOKUP($A$54,Ταρίφες!$A$6:$G$23,$K$6,FALSE)*(1+$F$3)^(B57-1)</f>
        <v>62616.305366999986</v>
      </c>
      <c r="E57" s="33">
        <f>C57*VLOOKUP($A$54,Ταρίφες!$A$6:$G$23,$K$7,FALSE)*(1+$F$3)^(B57-1)</f>
        <v>45364.874296499991</v>
      </c>
      <c r="F57" s="46">
        <f t="shared" si="29"/>
        <v>-2122.4159999999997</v>
      </c>
      <c r="G57" s="47">
        <f t="shared" si="30"/>
        <v>-848.96639999999991</v>
      </c>
      <c r="H57" s="47">
        <f t="shared" si="31"/>
        <v>-2971.3824</v>
      </c>
      <c r="I57" s="46">
        <f t="shared" si="32"/>
        <v>-4775.4359999999997</v>
      </c>
      <c r="J57" s="47">
        <f t="shared" si="34"/>
        <v>-12910</v>
      </c>
      <c r="K57" s="47">
        <f t="shared" si="35"/>
        <v>-10136.907187419996</v>
      </c>
      <c r="L57" s="47">
        <f t="shared" si="36"/>
        <v>-5651.5351090899985</v>
      </c>
      <c r="M57" s="47">
        <f t="shared" si="37"/>
        <v>41761.197379579993</v>
      </c>
      <c r="N57" s="47">
        <f t="shared" si="38"/>
        <v>28995.138387409992</v>
      </c>
      <c r="O57" s="34"/>
      <c r="P57" s="35"/>
      <c r="Q57" s="35"/>
      <c r="R57" s="33"/>
      <c r="S57" s="43"/>
      <c r="T57" s="19"/>
      <c r="U57" s="27">
        <f t="shared" si="39"/>
        <v>41761.197379579993</v>
      </c>
      <c r="V57" s="28">
        <f t="shared" si="40"/>
        <v>28995.138387409992</v>
      </c>
      <c r="W57" s="43"/>
      <c r="X57" s="19"/>
      <c r="Y57" s="42">
        <f t="shared" si="13"/>
        <v>0</v>
      </c>
      <c r="Z57" s="42">
        <f t="shared" si="14"/>
        <v>0</v>
      </c>
      <c r="AA57" s="96" t="e">
        <f t="shared" si="15"/>
        <v>#DIV/0!</v>
      </c>
      <c r="AB57" s="96" t="e">
        <f t="shared" si="16"/>
        <v>#DIV/0!</v>
      </c>
    </row>
    <row r="58" spans="1:28" hidden="1" outlineLevel="1" x14ac:dyDescent="0.25">
      <c r="A58" s="18"/>
      <c r="B58" s="38">
        <f t="shared" si="41"/>
        <v>5</v>
      </c>
      <c r="C58" s="54">
        <f t="shared" si="33"/>
        <v>126.51049451699997</v>
      </c>
      <c r="D58" s="33">
        <f>C58*VLOOKUP($A$54,Ταρίφες!$A$6:$G$23,$K$6,FALSE)*(1+$F$3)^(B58-1)</f>
        <v>61990.142313329983</v>
      </c>
      <c r="E58" s="33">
        <f>C58*VLOOKUP($A$54,Ταρίφες!$A$6:$G$23,$K$7,FALSE)*(1+$F$3)^(B58-1)</f>
        <v>44911.22555353499</v>
      </c>
      <c r="F58" s="46">
        <f t="shared" si="29"/>
        <v>-2164.8643200000001</v>
      </c>
      <c r="G58" s="47">
        <f t="shared" si="30"/>
        <v>-865.94572800000003</v>
      </c>
      <c r="H58" s="47">
        <f t="shared" si="31"/>
        <v>-3030.8100479999998</v>
      </c>
      <c r="I58" s="46">
        <f t="shared" si="32"/>
        <v>-4870.9447199999995</v>
      </c>
      <c r="J58" s="47">
        <f t="shared" si="34"/>
        <v>-12910</v>
      </c>
      <c r="K58" s="47">
        <f t="shared" si="35"/>
        <v>-9918.3701493057961</v>
      </c>
      <c r="L58" s="47">
        <f t="shared" si="36"/>
        <v>-5477.851791759098</v>
      </c>
      <c r="M58" s="47">
        <f t="shared" si="37"/>
        <v>41139.207348024189</v>
      </c>
      <c r="N58" s="47">
        <f t="shared" si="38"/>
        <v>28500.808945775894</v>
      </c>
      <c r="O58" s="34"/>
      <c r="P58" s="35"/>
      <c r="Q58" s="35"/>
      <c r="R58" s="33"/>
      <c r="S58" s="43"/>
      <c r="T58" s="19"/>
      <c r="U58" s="27">
        <f t="shared" si="39"/>
        <v>41139.207348024189</v>
      </c>
      <c r="V58" s="28">
        <f t="shared" si="40"/>
        <v>28500.808945775894</v>
      </c>
      <c r="W58" s="43"/>
      <c r="X58" s="19"/>
      <c r="Y58" s="42">
        <f t="shared" si="13"/>
        <v>0</v>
      </c>
      <c r="Z58" s="42">
        <f t="shared" si="14"/>
        <v>0</v>
      </c>
      <c r="AA58" s="96" t="e">
        <f t="shared" si="15"/>
        <v>#DIV/0!</v>
      </c>
      <c r="AB58" s="96" t="e">
        <f t="shared" si="16"/>
        <v>#DIV/0!</v>
      </c>
    </row>
    <row r="59" spans="1:28" hidden="1" outlineLevel="1" x14ac:dyDescent="0.25">
      <c r="A59" s="18"/>
      <c r="B59" s="38">
        <f t="shared" si="41"/>
        <v>6</v>
      </c>
      <c r="C59" s="54">
        <f t="shared" si="33"/>
        <v>125.24538957182997</v>
      </c>
      <c r="D59" s="33">
        <f>C59*VLOOKUP($A$54,Ταρίφες!$A$6:$G$23,$K$6,FALSE)*(1+$F$3)^(B59-1)</f>
        <v>61370.240890196685</v>
      </c>
      <c r="E59" s="33">
        <f>C59*VLOOKUP($A$54,Ταρίφες!$A$6:$G$23,$K$7,FALSE)*(1+$F$3)^(B59-1)</f>
        <v>44462.11329799964</v>
      </c>
      <c r="F59" s="46">
        <f t="shared" si="29"/>
        <v>-2208.1616064</v>
      </c>
      <c r="G59" s="47">
        <f t="shared" si="30"/>
        <v>-883.26464255999997</v>
      </c>
      <c r="H59" s="47">
        <f t="shared" si="31"/>
        <v>-3091.4262489600001</v>
      </c>
      <c r="I59" s="46">
        <f t="shared" si="32"/>
        <v>-4968.3636144000002</v>
      </c>
      <c r="J59" s="47">
        <f t="shared" si="34"/>
        <v>-12910</v>
      </c>
      <c r="K59" s="47">
        <f t="shared" si="35"/>
        <v>-9700.3464422479392</v>
      </c>
      <c r="L59" s="47">
        <f t="shared" si="36"/>
        <v>-5304.2332682767073</v>
      </c>
      <c r="M59" s="47">
        <f t="shared" si="37"/>
        <v>40518.678335628749</v>
      </c>
      <c r="N59" s="47">
        <f t="shared" si="38"/>
        <v>28006.663917402933</v>
      </c>
      <c r="O59" s="34"/>
      <c r="P59" s="35"/>
      <c r="Q59" s="35"/>
      <c r="R59" s="33"/>
      <c r="S59" s="43"/>
      <c r="T59" s="19"/>
      <c r="U59" s="27">
        <f t="shared" si="39"/>
        <v>40518.678335628749</v>
      </c>
      <c r="V59" s="28">
        <f t="shared" si="40"/>
        <v>28006.663917402933</v>
      </c>
      <c r="W59" s="43"/>
      <c r="X59" s="19"/>
      <c r="Y59" s="42">
        <f t="shared" si="13"/>
        <v>0</v>
      </c>
      <c r="Z59" s="42">
        <f t="shared" si="14"/>
        <v>0</v>
      </c>
      <c r="AA59" s="96" t="e">
        <f t="shared" si="15"/>
        <v>#DIV/0!</v>
      </c>
      <c r="AB59" s="96" t="e">
        <f t="shared" si="16"/>
        <v>#DIV/0!</v>
      </c>
    </row>
    <row r="60" spans="1:28" hidden="1" outlineLevel="1" x14ac:dyDescent="0.25">
      <c r="A60" s="18"/>
      <c r="B60" s="38">
        <f t="shared" si="41"/>
        <v>7</v>
      </c>
      <c r="C60" s="54">
        <f t="shared" si="33"/>
        <v>123.99293567611167</v>
      </c>
      <c r="D60" s="33">
        <f>C60*VLOOKUP($A$54,Ταρίφες!$A$6:$G$23,$K$6,FALSE)*(1+$F$3)^(B60-1)</f>
        <v>60756.538481294716</v>
      </c>
      <c r="E60" s="33">
        <f>C60*VLOOKUP($A$54,Ταρίφες!$A$6:$G$23,$K$7,FALSE)*(1+$F$3)^(B60-1)</f>
        <v>44017.492165019641</v>
      </c>
      <c r="F60" s="46">
        <f t="shared" si="29"/>
        <v>-2252.3248385280003</v>
      </c>
      <c r="G60" s="47">
        <f t="shared" si="30"/>
        <v>-900.92993541120006</v>
      </c>
      <c r="H60" s="47">
        <f t="shared" si="31"/>
        <v>-3153.2547739392003</v>
      </c>
      <c r="I60" s="46">
        <f t="shared" si="32"/>
        <v>-5067.7308866880003</v>
      </c>
      <c r="J60" s="47">
        <f t="shared" si="34"/>
        <v>-12910</v>
      </c>
      <c r="K60" s="47">
        <f t="shared" si="35"/>
        <v>-9482.7974921493642</v>
      </c>
      <c r="L60" s="47">
        <f t="shared" si="36"/>
        <v>-5130.6454499178426</v>
      </c>
      <c r="M60" s="47">
        <f t="shared" si="37"/>
        <v>39899.500554578954</v>
      </c>
      <c r="N60" s="47">
        <f t="shared" si="38"/>
        <v>27512.606280535398</v>
      </c>
      <c r="O60" s="34"/>
      <c r="P60" s="35"/>
      <c r="Q60" s="35"/>
      <c r="R60" s="33"/>
      <c r="S60" s="43"/>
      <c r="T60" s="19"/>
      <c r="U60" s="27">
        <f t="shared" si="39"/>
        <v>39899.500554578954</v>
      </c>
      <c r="V60" s="28">
        <f t="shared" si="40"/>
        <v>27512.606280535398</v>
      </c>
      <c r="W60" s="43"/>
      <c r="X60" s="19"/>
      <c r="Y60" s="42">
        <f t="shared" si="13"/>
        <v>0</v>
      </c>
      <c r="Z60" s="42">
        <f t="shared" si="14"/>
        <v>0</v>
      </c>
      <c r="AA60" s="96" t="e">
        <f t="shared" si="15"/>
        <v>#DIV/0!</v>
      </c>
      <c r="AB60" s="96" t="e">
        <f t="shared" si="16"/>
        <v>#DIV/0!</v>
      </c>
    </row>
    <row r="61" spans="1:28" hidden="1" outlineLevel="1" x14ac:dyDescent="0.25">
      <c r="A61" s="18"/>
      <c r="B61" s="38">
        <f t="shared" si="41"/>
        <v>8</v>
      </c>
      <c r="C61" s="54">
        <f t="shared" si="33"/>
        <v>122.75300631935055</v>
      </c>
      <c r="D61" s="33">
        <f>C61*VLOOKUP($A$54,Ταρίφες!$A$6:$G$23,$K$6,FALSE)*(1+$F$3)^(B61-1)</f>
        <v>60148.973096481765</v>
      </c>
      <c r="E61" s="33">
        <f>C61*VLOOKUP($A$54,Ταρίφες!$A$6:$G$23,$K$7,FALSE)*(1+$F$3)^(B61-1)</f>
        <v>43577.317243369442</v>
      </c>
      <c r="F61" s="46">
        <f t="shared" si="29"/>
        <v>-2297.3713352985596</v>
      </c>
      <c r="G61" s="47">
        <f t="shared" si="30"/>
        <v>-918.94853411942381</v>
      </c>
      <c r="H61" s="47">
        <f t="shared" si="31"/>
        <v>-3216.3198694179837</v>
      </c>
      <c r="I61" s="46">
        <f t="shared" si="32"/>
        <v>-5169.0855044217587</v>
      </c>
      <c r="J61" s="47">
        <f t="shared" si="34"/>
        <v>-12910</v>
      </c>
      <c r="K61" s="47">
        <f t="shared" si="35"/>
        <v>-9265.6844418382498</v>
      </c>
      <c r="L61" s="47">
        <f t="shared" si="36"/>
        <v>-4957.0539200290459</v>
      </c>
      <c r="M61" s="47">
        <f t="shared" si="37"/>
        <v>39281.563411385781</v>
      </c>
      <c r="N61" s="47">
        <f t="shared" si="38"/>
        <v>27018.538080082668</v>
      </c>
      <c r="O61" s="34"/>
      <c r="P61" s="35"/>
      <c r="Q61" s="35"/>
      <c r="R61" s="33"/>
      <c r="S61" s="43"/>
      <c r="T61" s="19"/>
      <c r="U61" s="27">
        <f t="shared" si="39"/>
        <v>39281.563411385781</v>
      </c>
      <c r="V61" s="28">
        <f t="shared" si="40"/>
        <v>27018.538080082668</v>
      </c>
      <c r="W61" s="43"/>
      <c r="X61" s="19"/>
      <c r="Y61" s="42">
        <f t="shared" si="13"/>
        <v>0</v>
      </c>
      <c r="Z61" s="42">
        <f t="shared" si="14"/>
        <v>0</v>
      </c>
      <c r="AA61" s="96" t="e">
        <f t="shared" si="15"/>
        <v>#DIV/0!</v>
      </c>
      <c r="AB61" s="96" t="e">
        <f t="shared" si="16"/>
        <v>#DIV/0!</v>
      </c>
    </row>
    <row r="62" spans="1:28" hidden="1" outlineLevel="1" x14ac:dyDescent="0.25">
      <c r="A62" s="18"/>
      <c r="B62" s="38">
        <f t="shared" si="41"/>
        <v>9</v>
      </c>
      <c r="C62" s="54">
        <f t="shared" si="33"/>
        <v>121.52547625615703</v>
      </c>
      <c r="D62" s="33">
        <f>C62*VLOOKUP($A$54,Ταρίφες!$A$6:$G$23,$K$6,FALSE)*(1+$F$3)^(B62-1)</f>
        <v>59547.48336551695</v>
      </c>
      <c r="E62" s="33">
        <f>C62*VLOOKUP($A$54,Ταρίφες!$A$6:$G$23,$K$7,FALSE)*(1+$F$3)^(B62-1)</f>
        <v>43141.54407093575</v>
      </c>
      <c r="F62" s="46">
        <f t="shared" si="29"/>
        <v>-2343.318762004531</v>
      </c>
      <c r="G62" s="47">
        <f t="shared" si="30"/>
        <v>-937.32750480181244</v>
      </c>
      <c r="H62" s="47">
        <f t="shared" si="31"/>
        <v>-3280.6462668063436</v>
      </c>
      <c r="I62" s="46">
        <f t="shared" si="32"/>
        <v>-5272.4672145101949</v>
      </c>
      <c r="J62" s="47">
        <f t="shared" si="34"/>
        <v>-12910</v>
      </c>
      <c r="K62" s="47">
        <f t="shared" si="35"/>
        <v>-9048.9681405224583</v>
      </c>
      <c r="L62" s="47">
        <f t="shared" si="36"/>
        <v>-4783.4239239313465</v>
      </c>
      <c r="M62" s="47">
        <f t="shared" si="37"/>
        <v>38664.755476871607</v>
      </c>
      <c r="N62" s="47">
        <f t="shared" si="38"/>
        <v>26524.360398881523</v>
      </c>
      <c r="O62" s="34"/>
      <c r="P62" s="35"/>
      <c r="Q62" s="35"/>
      <c r="R62" s="33"/>
      <c r="S62" s="43"/>
      <c r="T62" s="19"/>
      <c r="U62" s="27">
        <f t="shared" si="39"/>
        <v>38664.755476871607</v>
      </c>
      <c r="V62" s="28">
        <f t="shared" si="40"/>
        <v>26524.360398881523</v>
      </c>
      <c r="W62" s="43"/>
      <c r="X62" s="19"/>
      <c r="Y62" s="42">
        <f t="shared" si="13"/>
        <v>0</v>
      </c>
      <c r="Z62" s="42">
        <f t="shared" si="14"/>
        <v>0</v>
      </c>
      <c r="AA62" s="96" t="e">
        <f t="shared" si="15"/>
        <v>#DIV/0!</v>
      </c>
      <c r="AB62" s="96" t="e">
        <f t="shared" si="16"/>
        <v>#DIV/0!</v>
      </c>
    </row>
    <row r="63" spans="1:28" hidden="1" outlineLevel="1" x14ac:dyDescent="0.25">
      <c r="A63" s="18"/>
      <c r="B63" s="38">
        <f t="shared" si="41"/>
        <v>10</v>
      </c>
      <c r="C63" s="54">
        <f t="shared" si="33"/>
        <v>120.31022149359546</v>
      </c>
      <c r="D63" s="33">
        <f>C63*VLOOKUP($A$54,Ταρίφες!$A$6:$G$23,$K$6,FALSE)*(1+$F$3)^(B63-1)</f>
        <v>58952.008531861778</v>
      </c>
      <c r="E63" s="33">
        <f>C63*VLOOKUP($A$54,Ταρίφες!$A$6:$G$23,$K$7,FALSE)*(1+$F$3)^(B63-1)</f>
        <v>42710.128630226391</v>
      </c>
      <c r="F63" s="46">
        <f t="shared" si="29"/>
        <v>-2390.1851372446217</v>
      </c>
      <c r="G63" s="47">
        <f t="shared" si="30"/>
        <v>-956.07405489784867</v>
      </c>
      <c r="H63" s="47">
        <f t="shared" si="31"/>
        <v>-3346.2591921424705</v>
      </c>
      <c r="I63" s="46">
        <f t="shared" si="32"/>
        <v>-5377.9165588003989</v>
      </c>
      <c r="J63" s="47">
        <f t="shared" si="34"/>
        <v>-12910</v>
      </c>
      <c r="K63" s="47">
        <f t="shared" si="35"/>
        <v>-8832.6091330818745</v>
      </c>
      <c r="L63" s="47">
        <f t="shared" si="36"/>
        <v>-4609.7203586566729</v>
      </c>
      <c r="M63" s="47">
        <f t="shared" si="37"/>
        <v>38048.964455694564</v>
      </c>
      <c r="N63" s="47">
        <f t="shared" si="38"/>
        <v>26029.973328484379</v>
      </c>
      <c r="O63" s="34"/>
      <c r="P63" s="35"/>
      <c r="Q63" s="35"/>
      <c r="R63" s="33"/>
      <c r="S63" s="43"/>
      <c r="T63" s="19"/>
      <c r="U63" s="27">
        <f t="shared" si="39"/>
        <v>38048.964455694564</v>
      </c>
      <c r="V63" s="28">
        <f t="shared" si="40"/>
        <v>26029.973328484379</v>
      </c>
      <c r="W63" s="43"/>
      <c r="X63" s="19"/>
      <c r="Y63" s="42">
        <f t="shared" si="13"/>
        <v>0</v>
      </c>
      <c r="Z63" s="42">
        <f t="shared" si="14"/>
        <v>0</v>
      </c>
      <c r="AA63" s="96" t="e">
        <f t="shared" si="15"/>
        <v>#DIV/0!</v>
      </c>
      <c r="AB63" s="96" t="e">
        <f t="shared" si="16"/>
        <v>#DIV/0!</v>
      </c>
    </row>
    <row r="64" spans="1:28" hidden="1" outlineLevel="1" x14ac:dyDescent="0.25">
      <c r="A64" s="18"/>
      <c r="B64" s="38">
        <f t="shared" si="41"/>
        <v>11</v>
      </c>
      <c r="C64" s="54">
        <f t="shared" si="33"/>
        <v>119.10711927865951</v>
      </c>
      <c r="D64" s="33">
        <f>C64*VLOOKUP($A$54,Ταρίφες!$A$6:$G$23,$K$6,FALSE)*(1+$F$3)^(B64-1)</f>
        <v>58362.488446543161</v>
      </c>
      <c r="E64" s="33">
        <f>C64*VLOOKUP($A$54,Ταρίφες!$A$6:$G$23,$K$7,FALSE)*(1+$F$3)^(B64-1)</f>
        <v>42283.027343924128</v>
      </c>
      <c r="F64" s="46">
        <f t="shared" si="29"/>
        <v>-2437.9888399895144</v>
      </c>
      <c r="G64" s="47">
        <f t="shared" si="30"/>
        <v>-975.1955359958057</v>
      </c>
      <c r="H64" s="47">
        <f t="shared" si="31"/>
        <v>-3413.18437598532</v>
      </c>
      <c r="I64" s="46">
        <f t="shared" si="32"/>
        <v>-5485.4748899764072</v>
      </c>
      <c r="J64" s="47">
        <f t="shared" si="34"/>
        <v>-12910</v>
      </c>
      <c r="K64" s="47">
        <f t="shared" si="35"/>
        <v>-8616.5676491949907</v>
      </c>
      <c r="L64" s="47">
        <f t="shared" si="36"/>
        <v>-4435.9077625140417</v>
      </c>
      <c r="M64" s="47">
        <f t="shared" si="37"/>
        <v>37434.077155401123</v>
      </c>
      <c r="N64" s="47">
        <f t="shared" si="38"/>
        <v>25535.275939463041</v>
      </c>
      <c r="O64" s="34"/>
      <c r="P64" s="35"/>
      <c r="Q64" s="35"/>
      <c r="R64" s="33"/>
      <c r="S64" s="43"/>
      <c r="T64" s="19"/>
      <c r="U64" s="27">
        <f t="shared" si="39"/>
        <v>37434.077155401123</v>
      </c>
      <c r="V64" s="28">
        <f t="shared" si="40"/>
        <v>25535.275939463041</v>
      </c>
      <c r="W64" s="43"/>
      <c r="X64" s="19"/>
      <c r="Y64" s="42">
        <f t="shared" si="13"/>
        <v>0</v>
      </c>
      <c r="Z64" s="42">
        <f t="shared" si="14"/>
        <v>0</v>
      </c>
      <c r="AA64" s="96" t="e">
        <f t="shared" si="15"/>
        <v>#DIV/0!</v>
      </c>
      <c r="AB64" s="96" t="e">
        <f t="shared" si="16"/>
        <v>#DIV/0!</v>
      </c>
    </row>
    <row r="65" spans="1:28" hidden="1" outlineLevel="1" x14ac:dyDescent="0.25">
      <c r="A65" s="18"/>
      <c r="B65" s="38">
        <f t="shared" si="41"/>
        <v>12</v>
      </c>
      <c r="C65" s="54">
        <f t="shared" si="33"/>
        <v>117.91604808587292</v>
      </c>
      <c r="D65" s="33">
        <f>C65*VLOOKUP($A$54,Ταρίφες!$A$6:$G$23,$K$6,FALSE)*(1+$F$3)^(B65-1)</f>
        <v>57778.863562077728</v>
      </c>
      <c r="E65" s="33">
        <f>C65*VLOOKUP($A$54,Ταρίφες!$A$6:$G$23,$K$7,FALSE)*(1+$F$3)^(B65-1)</f>
        <v>41860.197070484886</v>
      </c>
      <c r="F65" s="46">
        <f t="shared" si="29"/>
        <v>-2486.7486167893039</v>
      </c>
      <c r="G65" s="47">
        <f t="shared" si="30"/>
        <v>-994.69944671572159</v>
      </c>
      <c r="H65" s="47">
        <f t="shared" si="31"/>
        <v>-3481.4480635050259</v>
      </c>
      <c r="I65" s="46">
        <f t="shared" si="32"/>
        <v>-5595.1843877759338</v>
      </c>
      <c r="J65" s="47">
        <f t="shared" si="34"/>
        <v>-12910</v>
      </c>
      <c r="K65" s="47">
        <f t="shared" si="35"/>
        <v>-8400.8035922958534</v>
      </c>
      <c r="L65" s="47">
        <f t="shared" si="36"/>
        <v>-4261.9503044817138</v>
      </c>
      <c r="M65" s="47">
        <f t="shared" si="37"/>
        <v>36819.97945499589</v>
      </c>
      <c r="N65" s="47">
        <f t="shared" si="38"/>
        <v>25040.166251217186</v>
      </c>
      <c r="O65" s="34"/>
      <c r="P65" s="35"/>
      <c r="Q65" s="35"/>
      <c r="R65" s="33"/>
      <c r="S65" s="43"/>
      <c r="T65" s="19"/>
      <c r="U65" s="27">
        <f t="shared" si="39"/>
        <v>36819.97945499589</v>
      </c>
      <c r="V65" s="28">
        <f t="shared" si="40"/>
        <v>25040.166251217186</v>
      </c>
      <c r="W65" s="43"/>
      <c r="X65" s="19"/>
      <c r="Y65" s="42">
        <f t="shared" si="13"/>
        <v>0</v>
      </c>
      <c r="Z65" s="42">
        <f t="shared" si="14"/>
        <v>0</v>
      </c>
      <c r="AA65" s="96" t="e">
        <f t="shared" si="15"/>
        <v>#DIV/0!</v>
      </c>
      <c r="AB65" s="96" t="e">
        <f t="shared" si="16"/>
        <v>#DIV/0!</v>
      </c>
    </row>
    <row r="66" spans="1:28" hidden="1" outlineLevel="1" x14ac:dyDescent="0.25">
      <c r="A66" s="18"/>
      <c r="B66" s="38">
        <f t="shared" si="41"/>
        <v>13</v>
      </c>
      <c r="C66" s="54">
        <f t="shared" si="33"/>
        <v>116.73688760501419</v>
      </c>
      <c r="D66" s="33">
        <f>C66*VLOOKUP($A$54,Ταρίφες!$A$6:$G$23,$K$6,FALSE)*(1+$F$3)^(B66-1)</f>
        <v>57201.074926456953</v>
      </c>
      <c r="E66" s="33">
        <f>C66*VLOOKUP($A$54,Ταρίφες!$A$6:$G$23,$K$7,FALSE)*(1+$F$3)^(B66-1)</f>
        <v>41441.595099780039</v>
      </c>
      <c r="F66" s="46">
        <f t="shared" si="29"/>
        <v>-2536.4835891250905</v>
      </c>
      <c r="G66" s="47">
        <f t="shared" si="30"/>
        <v>-1014.5934356500362</v>
      </c>
      <c r="H66" s="47">
        <f t="shared" si="31"/>
        <v>-3551.0770247751266</v>
      </c>
      <c r="I66" s="46">
        <f t="shared" si="32"/>
        <v>-5707.0880755314538</v>
      </c>
      <c r="J66" s="47">
        <f t="shared" si="34"/>
        <v>-12910</v>
      </c>
      <c r="K66" s="47">
        <f t="shared" si="35"/>
        <v>-8185.2765283575645</v>
      </c>
      <c r="L66" s="47">
        <f t="shared" si="36"/>
        <v>-4087.8117734215666</v>
      </c>
      <c r="M66" s="47">
        <f t="shared" si="37"/>
        <v>36206.556273017683</v>
      </c>
      <c r="N66" s="47">
        <f t="shared" si="38"/>
        <v>24544.541201276767</v>
      </c>
      <c r="O66" s="34"/>
      <c r="P66" s="35"/>
      <c r="Q66" s="35"/>
      <c r="R66" s="33"/>
      <c r="S66" s="43"/>
      <c r="T66" s="19"/>
      <c r="U66" s="27">
        <f t="shared" si="39"/>
        <v>36206.556273017683</v>
      </c>
      <c r="V66" s="28">
        <f t="shared" si="40"/>
        <v>24544.541201276767</v>
      </c>
      <c r="W66" s="43"/>
      <c r="X66" s="19"/>
      <c r="Y66" s="42">
        <f t="shared" si="13"/>
        <v>0</v>
      </c>
      <c r="Z66" s="42">
        <f t="shared" si="14"/>
        <v>0</v>
      </c>
      <c r="AA66" s="96" t="e">
        <f t="shared" si="15"/>
        <v>#DIV/0!</v>
      </c>
      <c r="AB66" s="96" t="e">
        <f t="shared" si="16"/>
        <v>#DIV/0!</v>
      </c>
    </row>
    <row r="67" spans="1:28" hidden="1" outlineLevel="1" x14ac:dyDescent="0.25">
      <c r="A67" s="18"/>
      <c r="B67" s="38">
        <f t="shared" si="41"/>
        <v>14</v>
      </c>
      <c r="C67" s="54">
        <f t="shared" si="33"/>
        <v>115.56951872896404</v>
      </c>
      <c r="D67" s="33">
        <f>C67*VLOOKUP($A$54,Ταρίφες!$A$6:$G$23,$K$6,FALSE)*(1+$F$3)^(B67-1)</f>
        <v>56629.064177192384</v>
      </c>
      <c r="E67" s="33">
        <f>C67*VLOOKUP($A$54,Ταρίφες!$A$6:$G$23,$K$7,FALSE)*(1+$F$3)^(B67-1)</f>
        <v>41027.179148782234</v>
      </c>
      <c r="F67" s="46">
        <f t="shared" si="29"/>
        <v>-2587.213260907592</v>
      </c>
      <c r="G67" s="47">
        <f t="shared" si="30"/>
        <v>-1034.8853043630368</v>
      </c>
      <c r="H67" s="47">
        <f t="shared" si="31"/>
        <v>-3622.098565270629</v>
      </c>
      <c r="I67" s="46">
        <f t="shared" si="32"/>
        <v>-5821.2298370420822</v>
      </c>
      <c r="J67" s="47">
        <f t="shared" si="34"/>
        <v>-12910</v>
      </c>
      <c r="K67" s="47">
        <f t="shared" si="35"/>
        <v>-7969.9456744983518</v>
      </c>
      <c r="L67" s="47">
        <f t="shared" si="36"/>
        <v>-3913.4555671117128</v>
      </c>
      <c r="M67" s="47">
        <f t="shared" si="37"/>
        <v>35593.691535110695</v>
      </c>
      <c r="N67" s="47">
        <f t="shared" si="38"/>
        <v>24048.296614087183</v>
      </c>
      <c r="O67" s="34"/>
      <c r="P67" s="35"/>
      <c r="Q67" s="35"/>
      <c r="R67" s="33"/>
      <c r="S67" s="43"/>
      <c r="T67" s="19"/>
      <c r="U67" s="27">
        <f t="shared" si="39"/>
        <v>35593.691535110695</v>
      </c>
      <c r="V67" s="28">
        <f t="shared" si="40"/>
        <v>24048.296614087183</v>
      </c>
      <c r="W67" s="43"/>
      <c r="X67" s="19"/>
      <c r="Y67" s="42">
        <f t="shared" si="13"/>
        <v>0</v>
      </c>
      <c r="Z67" s="42">
        <f t="shared" si="14"/>
        <v>0</v>
      </c>
      <c r="AA67" s="96" t="e">
        <f t="shared" si="15"/>
        <v>#DIV/0!</v>
      </c>
      <c r="AB67" s="96" t="e">
        <f t="shared" si="16"/>
        <v>#DIV/0!</v>
      </c>
    </row>
    <row r="68" spans="1:28" hidden="1" outlineLevel="1" x14ac:dyDescent="0.25">
      <c r="A68" s="18"/>
      <c r="B68" s="38">
        <f t="shared" si="41"/>
        <v>15</v>
      </c>
      <c r="C68" s="54">
        <f t="shared" si="33"/>
        <v>114.4138235416744</v>
      </c>
      <c r="D68" s="33">
        <f>C68*VLOOKUP($A$54,Ταρίφες!$A$6:$G$23,$K$6,FALSE)*(1+$F$3)^(B68-1)</f>
        <v>56062.773535420456</v>
      </c>
      <c r="E68" s="33">
        <f>C68*VLOOKUP($A$54,Ταρίφες!$A$6:$G$23,$K$7,FALSE)*(1+$F$3)^(B68-1)</f>
        <v>40616.907357294411</v>
      </c>
      <c r="F68" s="46">
        <f t="shared" si="29"/>
        <v>-2638.9575261257442</v>
      </c>
      <c r="G68" s="47">
        <f t="shared" si="30"/>
        <v>-1055.5830104502977</v>
      </c>
      <c r="H68" s="47">
        <f t="shared" si="31"/>
        <v>-3694.5405365760421</v>
      </c>
      <c r="I68" s="46">
        <f t="shared" si="32"/>
        <v>-5937.6544337829246</v>
      </c>
      <c r="J68" s="47">
        <f t="shared" si="34"/>
        <v>-12910</v>
      </c>
      <c r="K68" s="47">
        <f t="shared" si="35"/>
        <v>-7754.7698874062162</v>
      </c>
      <c r="L68" s="47">
        <f t="shared" si="36"/>
        <v>-3738.8446810934447</v>
      </c>
      <c r="M68" s="47">
        <f t="shared" si="37"/>
        <v>34981.268141079228</v>
      </c>
      <c r="N68" s="47">
        <f t="shared" si="38"/>
        <v>23551.327169265958</v>
      </c>
      <c r="O68" s="34"/>
      <c r="P68" s="35"/>
      <c r="Q68" s="35"/>
      <c r="R68" s="33"/>
      <c r="S68" s="43"/>
      <c r="T68" s="19"/>
      <c r="U68" s="27">
        <f t="shared" si="39"/>
        <v>34981.268141079228</v>
      </c>
      <c r="V68" s="28">
        <f t="shared" si="40"/>
        <v>23551.327169265958</v>
      </c>
      <c r="W68" s="43"/>
      <c r="X68" s="19"/>
      <c r="Y68" s="42">
        <f t="shared" si="13"/>
        <v>0</v>
      </c>
      <c r="Z68" s="42">
        <f t="shared" si="14"/>
        <v>0</v>
      </c>
      <c r="AA68" s="96" t="e">
        <f t="shared" si="15"/>
        <v>#DIV/0!</v>
      </c>
      <c r="AB68" s="96" t="e">
        <f t="shared" si="16"/>
        <v>#DIV/0!</v>
      </c>
    </row>
    <row r="69" spans="1:28" hidden="1" outlineLevel="1" x14ac:dyDescent="0.25">
      <c r="A69" s="18"/>
      <c r="B69" s="38">
        <f t="shared" si="41"/>
        <v>16</v>
      </c>
      <c r="C69" s="54">
        <f t="shared" si="33"/>
        <v>113.26968530625766</v>
      </c>
      <c r="D69" s="33">
        <f>C69*VLOOKUP($A$54,Ταρίφες!$A$6:$G$23,$K$6,FALSE)*(1+$F$3)^(B69-1)</f>
        <v>55502.145800066253</v>
      </c>
      <c r="E69" s="33">
        <f>C69*VLOOKUP($A$54,Ταρίφες!$A$6:$G$23,$K$7,FALSE)*(1+$F$3)^(B69-1)</f>
        <v>40210.738283721468</v>
      </c>
      <c r="F69" s="46">
        <f t="shared" si="29"/>
        <v>-2691.7366766482583</v>
      </c>
      <c r="G69" s="47">
        <f t="shared" si="30"/>
        <v>-1076.6946706593035</v>
      </c>
      <c r="H69" s="47">
        <f t="shared" si="31"/>
        <v>-3768.4313473075617</v>
      </c>
      <c r="I69" s="46">
        <f t="shared" si="32"/>
        <v>-6056.4075224585813</v>
      </c>
      <c r="J69" s="47">
        <f t="shared" si="34"/>
        <v>-12910</v>
      </c>
      <c r="K69" s="47">
        <f t="shared" si="35"/>
        <v>-7539.7076515780636</v>
      </c>
      <c r="L69" s="47">
        <f t="shared" si="36"/>
        <v>-3563.9416973284192</v>
      </c>
      <c r="M69" s="47">
        <f t="shared" si="37"/>
        <v>34369.167931414486</v>
      </c>
      <c r="N69" s="47">
        <f t="shared" si="38"/>
        <v>23053.526369319345</v>
      </c>
      <c r="O69" s="34"/>
      <c r="P69" s="35"/>
      <c r="Q69" s="35"/>
      <c r="R69" s="33"/>
      <c r="S69" s="43"/>
      <c r="T69" s="19"/>
      <c r="U69" s="27">
        <f t="shared" si="39"/>
        <v>34369.167931414486</v>
      </c>
      <c r="V69" s="28">
        <f t="shared" si="40"/>
        <v>23053.526369319345</v>
      </c>
      <c r="W69" s="43"/>
      <c r="X69" s="19"/>
      <c r="Y69" s="42">
        <f t="shared" si="13"/>
        <v>0</v>
      </c>
      <c r="Z69" s="42">
        <f t="shared" si="14"/>
        <v>0</v>
      </c>
      <c r="AA69" s="96" t="e">
        <f t="shared" si="15"/>
        <v>#DIV/0!</v>
      </c>
      <c r="AB69" s="96" t="e">
        <f t="shared" si="16"/>
        <v>#DIV/0!</v>
      </c>
    </row>
    <row r="70" spans="1:28" hidden="1" outlineLevel="1" x14ac:dyDescent="0.25">
      <c r="A70" s="18"/>
      <c r="B70" s="38">
        <f t="shared" si="41"/>
        <v>17</v>
      </c>
      <c r="C70" s="54">
        <f t="shared" si="33"/>
        <v>112.13698845319507</v>
      </c>
      <c r="D70" s="33">
        <f>C70*VLOOKUP($A$54,Ταρίφες!$A$6:$G$23,$K$6,FALSE)*(1+$F$3)^(B70-1)</f>
        <v>54947.124342065588</v>
      </c>
      <c r="E70" s="33">
        <f>C70*VLOOKUP($A$54,Ταρίφες!$A$6:$G$23,$K$7,FALSE)*(1+$F$3)^(B70-1)</f>
        <v>39808.630900884251</v>
      </c>
      <c r="F70" s="46">
        <f t="shared" si="29"/>
        <v>-2745.5714101812241</v>
      </c>
      <c r="G70" s="47">
        <f t="shared" si="30"/>
        <v>-1098.2285640724897</v>
      </c>
      <c r="H70" s="47">
        <f t="shared" si="31"/>
        <v>-3843.7999742537136</v>
      </c>
      <c r="I70" s="46">
        <f t="shared" si="32"/>
        <v>-6177.5356729077539</v>
      </c>
      <c r="J70" s="47">
        <f t="shared" si="34"/>
        <v>-12910</v>
      </c>
      <c r="K70" s="47">
        <f t="shared" si="35"/>
        <v>-7324.7170673691062</v>
      </c>
      <c r="L70" s="47">
        <f t="shared" si="36"/>
        <v>-3388.7087726619579</v>
      </c>
      <c r="M70" s="47">
        <f t="shared" si="37"/>
        <v>33757.271653281299</v>
      </c>
      <c r="N70" s="47">
        <f t="shared" si="38"/>
        <v>22554.786506807111</v>
      </c>
      <c r="O70" s="34"/>
      <c r="P70" s="35"/>
      <c r="Q70" s="35"/>
      <c r="R70" s="33"/>
      <c r="S70" s="43"/>
      <c r="T70" s="19"/>
      <c r="U70" s="27">
        <f t="shared" si="39"/>
        <v>33757.271653281299</v>
      </c>
      <c r="V70" s="28">
        <f t="shared" si="40"/>
        <v>22554.786506807111</v>
      </c>
      <c r="W70" s="43"/>
      <c r="X70" s="19"/>
      <c r="Y70" s="42">
        <f t="shared" si="13"/>
        <v>0</v>
      </c>
      <c r="Z70" s="42">
        <f t="shared" si="14"/>
        <v>0</v>
      </c>
      <c r="AA70" s="96" t="e">
        <f t="shared" si="15"/>
        <v>#DIV/0!</v>
      </c>
      <c r="AB70" s="96" t="e">
        <f t="shared" si="16"/>
        <v>#DIV/0!</v>
      </c>
    </row>
    <row r="71" spans="1:28" hidden="1" outlineLevel="1" x14ac:dyDescent="0.25">
      <c r="A71" s="18"/>
      <c r="B71" s="38">
        <f t="shared" si="41"/>
        <v>18</v>
      </c>
      <c r="C71" s="54">
        <f t="shared" si="33"/>
        <v>111.01561856866311</v>
      </c>
      <c r="D71" s="33">
        <f>C71*VLOOKUP($A$54,Ταρίφες!$A$6:$G$23,$K$6,FALSE)*(1+$F$3)^(B71-1)</f>
        <v>54397.653098644929</v>
      </c>
      <c r="E71" s="33">
        <f>C71*VLOOKUP($A$54,Ταρίφες!$A$6:$G$23,$K$7,FALSE)*(1+$F$3)^(B71-1)</f>
        <v>39410.544591875405</v>
      </c>
      <c r="F71" s="46">
        <f t="shared" si="29"/>
        <v>-2800.4828383848489</v>
      </c>
      <c r="G71" s="47">
        <f t="shared" si="30"/>
        <v>-1120.1931353539396</v>
      </c>
      <c r="H71" s="47">
        <f t="shared" si="31"/>
        <v>-3920.6759737387883</v>
      </c>
      <c r="I71" s="46">
        <f t="shared" si="32"/>
        <v>-6301.0863863659097</v>
      </c>
      <c r="J71" s="47">
        <f t="shared" si="34"/>
        <v>-12910</v>
      </c>
      <c r="K71" s="47">
        <f t="shared" si="35"/>
        <v>-7109.7558388483758</v>
      </c>
      <c r="L71" s="47">
        <f t="shared" si="36"/>
        <v>-3213.1076270882991</v>
      </c>
      <c r="M71" s="47">
        <f t="shared" si="37"/>
        <v>33145.458925953069</v>
      </c>
      <c r="N71" s="47">
        <f t="shared" si="38"/>
        <v>22054.998630943621</v>
      </c>
      <c r="O71" s="34"/>
      <c r="P71" s="35"/>
      <c r="Q71" s="35"/>
      <c r="R71" s="33"/>
      <c r="S71" s="43"/>
      <c r="T71" s="19"/>
      <c r="U71" s="27">
        <f t="shared" si="39"/>
        <v>33145.458925953069</v>
      </c>
      <c r="V71" s="28">
        <f t="shared" si="40"/>
        <v>22054.998630943621</v>
      </c>
      <c r="W71" s="43"/>
      <c r="X71" s="19"/>
      <c r="Y71" s="42">
        <f t="shared" si="13"/>
        <v>0</v>
      </c>
      <c r="Z71" s="42">
        <f t="shared" si="14"/>
        <v>0</v>
      </c>
      <c r="AA71" s="96" t="e">
        <f t="shared" si="15"/>
        <v>#DIV/0!</v>
      </c>
      <c r="AB71" s="96" t="e">
        <f t="shared" si="16"/>
        <v>#DIV/0!</v>
      </c>
    </row>
    <row r="72" spans="1:28" hidden="1" outlineLevel="1" x14ac:dyDescent="0.25">
      <c r="A72" s="18"/>
      <c r="B72" s="38">
        <f t="shared" si="41"/>
        <v>19</v>
      </c>
      <c r="C72" s="54">
        <f t="shared" si="33"/>
        <v>109.90546238297648</v>
      </c>
      <c r="D72" s="33">
        <f>C72*VLOOKUP($A$54,Ταρίφες!$A$6:$G$23,$K$6,FALSE)*(1+$F$3)^(B72-1)</f>
        <v>53853.676567658476</v>
      </c>
      <c r="E72" s="33">
        <f>C72*VLOOKUP($A$54,Ταρίφες!$A$6:$G$23,$K$7,FALSE)*(1+$F$3)^(B72-1)</f>
        <v>39016.439145956654</v>
      </c>
      <c r="F72" s="46">
        <f t="shared" si="29"/>
        <v>-2856.4924951525454</v>
      </c>
      <c r="G72" s="47">
        <f t="shared" si="30"/>
        <v>-1142.5969980610182</v>
      </c>
      <c r="H72" s="47">
        <f t="shared" si="31"/>
        <v>-3999.0894932135634</v>
      </c>
      <c r="I72" s="46">
        <f t="shared" si="32"/>
        <v>-6427.1081140932274</v>
      </c>
      <c r="J72" s="47">
        <f t="shared" si="34"/>
        <v>-12910</v>
      </c>
      <c r="K72" s="47">
        <f t="shared" si="35"/>
        <v>-6894.7812614559116</v>
      </c>
      <c r="L72" s="47">
        <f t="shared" si="36"/>
        <v>-3037.0995318134378</v>
      </c>
      <c r="M72" s="47">
        <f t="shared" si="37"/>
        <v>32533.608205682209</v>
      </c>
      <c r="N72" s="47">
        <f t="shared" si="38"/>
        <v>21554.052513622861</v>
      </c>
      <c r="O72" s="34"/>
      <c r="P72" s="35"/>
      <c r="Q72" s="35"/>
      <c r="R72" s="33"/>
      <c r="S72" s="43"/>
      <c r="T72" s="19"/>
      <c r="U72" s="27">
        <f t="shared" si="39"/>
        <v>32533.608205682209</v>
      </c>
      <c r="V72" s="28">
        <f t="shared" si="40"/>
        <v>21554.052513622861</v>
      </c>
      <c r="W72" s="43"/>
      <c r="X72" s="19"/>
      <c r="Y72" s="42">
        <f t="shared" si="13"/>
        <v>0</v>
      </c>
      <c r="Z72" s="42">
        <f t="shared" si="14"/>
        <v>0</v>
      </c>
      <c r="AA72" s="96" t="e">
        <f t="shared" si="15"/>
        <v>#DIV/0!</v>
      </c>
      <c r="AB72" s="96" t="e">
        <f t="shared" si="16"/>
        <v>#DIV/0!</v>
      </c>
    </row>
    <row r="73" spans="1:28" hidden="1" outlineLevel="1" x14ac:dyDescent="0.25">
      <c r="A73" s="18"/>
      <c r="B73" s="38">
        <f t="shared" si="41"/>
        <v>20</v>
      </c>
      <c r="C73" s="54">
        <f t="shared" si="33"/>
        <v>108.80640775914671</v>
      </c>
      <c r="D73" s="33">
        <f>C73*VLOOKUP($A$54,Ταρίφες!$A$6:$G$23,$K$6,FALSE)*(1+$F$3)^(B73-1)</f>
        <v>53315.139801981888</v>
      </c>
      <c r="E73" s="33">
        <f>C73*VLOOKUP($A$54,Ταρίφες!$A$6:$G$23,$K$7,FALSE)*(1+$F$3)^(B73-1)</f>
        <v>38626.274754497084</v>
      </c>
      <c r="F73" s="46">
        <f t="shared" si="29"/>
        <v>-2913.6223450555963</v>
      </c>
      <c r="G73" s="47">
        <f t="shared" si="30"/>
        <v>-1165.4489380222385</v>
      </c>
      <c r="H73" s="47">
        <f t="shared" si="31"/>
        <v>-4079.0712830778348</v>
      </c>
      <c r="I73" s="46">
        <f t="shared" si="32"/>
        <v>-6555.6502763750914</v>
      </c>
      <c r="J73" s="47">
        <f t="shared" si="34"/>
        <v>-12910</v>
      </c>
      <c r="K73" s="47">
        <f t="shared" si="35"/>
        <v>-6679.7502094572928</v>
      </c>
      <c r="L73" s="47">
        <f t="shared" si="36"/>
        <v>-2860.645297111244</v>
      </c>
      <c r="M73" s="47">
        <f t="shared" si="37"/>
        <v>31921.596749993834</v>
      </c>
      <c r="N73" s="47">
        <f t="shared" si="38"/>
        <v>21051.836614855078</v>
      </c>
      <c r="O73" s="34"/>
      <c r="P73" s="35"/>
      <c r="Q73" s="35"/>
      <c r="R73" s="33"/>
      <c r="S73" s="43"/>
      <c r="T73" s="19"/>
      <c r="U73" s="27">
        <f>M73</f>
        <v>31921.596749993834</v>
      </c>
      <c r="V73" s="28">
        <f t="shared" si="40"/>
        <v>21051.836614855078</v>
      </c>
      <c r="W73" s="43"/>
      <c r="X73" s="19"/>
      <c r="Y73" s="42">
        <f t="shared" si="13"/>
        <v>0</v>
      </c>
      <c r="Z73" s="42">
        <f t="shared" si="14"/>
        <v>0</v>
      </c>
      <c r="AA73" s="96" t="e">
        <f t="shared" si="15"/>
        <v>#DIV/0!</v>
      </c>
      <c r="AB73" s="96" t="e">
        <f t="shared" si="16"/>
        <v>#DIV/0!</v>
      </c>
    </row>
    <row r="74" spans="1:28" hidden="1" outlineLevel="1" x14ac:dyDescent="0.25">
      <c r="A74" s="40"/>
      <c r="B74" s="50"/>
      <c r="C74" s="56"/>
      <c r="D74" s="22"/>
      <c r="E74" s="22"/>
      <c r="F74" s="48"/>
      <c r="G74" s="51"/>
      <c r="H74" s="51"/>
      <c r="I74" s="48"/>
      <c r="J74" s="51"/>
      <c r="K74" s="51"/>
      <c r="L74" s="51"/>
      <c r="M74" s="51"/>
      <c r="N74" s="51"/>
      <c r="O74" s="17"/>
      <c r="P74" s="25"/>
      <c r="Q74" s="25"/>
      <c r="R74" s="22"/>
      <c r="S74" s="52"/>
      <c r="T74" s="44"/>
      <c r="U74" s="26">
        <f>O75</f>
        <v>-302750</v>
      </c>
      <c r="V74" s="26">
        <f>R75</f>
        <v>-233644.53125</v>
      </c>
      <c r="W74" s="52"/>
      <c r="X74" s="44"/>
      <c r="Y74" s="42">
        <f t="shared" si="13"/>
        <v>0</v>
      </c>
      <c r="Z74" s="42">
        <f t="shared" si="14"/>
        <v>0</v>
      </c>
      <c r="AA74" s="96" t="e">
        <f t="shared" si="15"/>
        <v>#DIV/0!</v>
      </c>
      <c r="AB74" s="96" t="e">
        <f t="shared" si="16"/>
        <v>#DIV/0!</v>
      </c>
    </row>
    <row r="75" spans="1:28" collapsed="1" x14ac:dyDescent="0.25">
      <c r="A75" s="32" t="str">
        <f>Ταρίφες!A13</f>
        <v>Δ Τριμ. 2010</v>
      </c>
      <c r="B75" s="38">
        <f>1</f>
        <v>1</v>
      </c>
      <c r="C75" s="54">
        <f>$F$8*$K$2/1000</f>
        <v>131.69999999999999</v>
      </c>
      <c r="D75" s="33">
        <f>C75*VLOOKUP($A$75,Ταρίφες!$A$6:$G$23,$K$6,FALSE)*(1+$F$3)^(B75-1)</f>
        <v>61898.999999999993</v>
      </c>
      <c r="E75" s="33">
        <f>C75*VLOOKUP($A$75,Ταρίφες!$A$6:$G$23,$K$7,FALSE)*(1+$F$3)^(B75-1)</f>
        <v>44119.499999999993</v>
      </c>
      <c r="F75" s="46">
        <f t="shared" ref="F75:F94" si="42">-($K$5*(1+$F$4)^(B75-$B$12))</f>
        <v>-2000</v>
      </c>
      <c r="G75" s="47">
        <f t="shared" ref="G75:G94" si="43">-$K$2*10*(1+$F$4)^(B75-$B$12)</f>
        <v>-800</v>
      </c>
      <c r="H75" s="47">
        <f t="shared" ref="H75:H93" si="44">-$K$4*(1+$F$4)^(B75-$B$12)</f>
        <v>-2800</v>
      </c>
      <c r="I75" s="46">
        <f t="shared" ref="I75:I93" si="45">-(4500*(1+$F$4)^(B75-$B$12))</f>
        <v>-4500</v>
      </c>
      <c r="J75" s="47">
        <f>$O$75*4%</f>
        <v>-12110</v>
      </c>
      <c r="K75" s="47">
        <f>-(D75+SUM(F75:J75))*$F$5</f>
        <v>-10319.139999999998</v>
      </c>
      <c r="L75" s="47">
        <f>-(E75+SUM(F75:J75))*$F$5</f>
        <v>-5696.4699999999984</v>
      </c>
      <c r="M75" s="47">
        <f>D75+SUM(F75:I75)+K75</f>
        <v>41479.859999999993</v>
      </c>
      <c r="N75" s="47">
        <f>E75+SUM(F75:I75)+L75</f>
        <v>28323.029999999995</v>
      </c>
      <c r="O75" s="35">
        <f>-VLOOKUP(A75,'Κόστος Κατασκευής'!$A$4:$Q$17,$K$8,FALSE)</f>
        <v>-302750</v>
      </c>
      <c r="P75" s="36">
        <f>$K$3</f>
        <v>96000</v>
      </c>
      <c r="Q75" s="36">
        <f>Q54*15/16</f>
        <v>-26894.531250000004</v>
      </c>
      <c r="R75" s="37">
        <f>SUM(O75:Q75)</f>
        <v>-233644.53125</v>
      </c>
      <c r="S75" s="42">
        <f>IRR(U74:U94)</f>
        <v>0.10872029322102694</v>
      </c>
      <c r="T75" s="42">
        <f>IRR(V74:V94)</f>
        <v>8.7097077828115932E-2</v>
      </c>
      <c r="U75" s="27">
        <f>M75</f>
        <v>41479.859999999993</v>
      </c>
      <c r="V75" s="28">
        <f>N75</f>
        <v>28323.029999999995</v>
      </c>
      <c r="W75" s="42">
        <f>'IRR ΔΣ Ισχύον'!S75</f>
        <v>0.13375686746302917</v>
      </c>
      <c r="X75" s="42">
        <f>'IRR ΔΣ Ισχύον'!T75</f>
        <v>0.13250368115329181</v>
      </c>
      <c r="Y75" s="42">
        <f t="shared" si="13"/>
        <v>-2.503657424200223E-2</v>
      </c>
      <c r="Z75" s="42">
        <f t="shared" si="14"/>
        <v>-4.5406603325175876E-2</v>
      </c>
      <c r="AA75" s="96">
        <f t="shared" si="15"/>
        <v>0.31709331131296448</v>
      </c>
      <c r="AB75" s="96">
        <f t="shared" si="16"/>
        <v>0.22825918662262593</v>
      </c>
    </row>
    <row r="76" spans="1:28" hidden="1" outlineLevel="1" x14ac:dyDescent="0.25">
      <c r="A76" s="18"/>
      <c r="B76" s="38">
        <f>B75+1</f>
        <v>2</v>
      </c>
      <c r="C76" s="54">
        <f t="shared" ref="C76:C93" si="46">C75*(1-$F$2)</f>
        <v>130.38299999999998</v>
      </c>
      <c r="D76" s="33">
        <f>C76*VLOOKUP($A$75,Ταρίφες!$A$6:$G$23,$K$6,FALSE)*(1+$F$3)^(B76-1)</f>
        <v>61280.009999999995</v>
      </c>
      <c r="E76" s="33">
        <f>C76*VLOOKUP($A$75,Ταρίφες!$A$6:$G$23,$K$7,FALSE)*(1+$F$3)^(B76-1)</f>
        <v>43678.304999999993</v>
      </c>
      <c r="F76" s="46">
        <f t="shared" si="42"/>
        <v>-2040</v>
      </c>
      <c r="G76" s="47">
        <f t="shared" si="43"/>
        <v>-816</v>
      </c>
      <c r="H76" s="47">
        <f t="shared" si="44"/>
        <v>-2856</v>
      </c>
      <c r="I76" s="46">
        <f t="shared" si="45"/>
        <v>-4590</v>
      </c>
      <c r="J76" s="47">
        <f t="shared" ref="J76:J94" si="47">$O$75*4%</f>
        <v>-12110</v>
      </c>
      <c r="K76" s="47">
        <f t="shared" ref="K76:K93" si="48">-(D76+SUM(F76:J76))*$F$5</f>
        <v>-10105.682599999998</v>
      </c>
      <c r="L76" s="47">
        <f t="shared" ref="L76:L93" si="49">-(E76+SUM(F76:J76))*$F$5</f>
        <v>-5529.2392999999984</v>
      </c>
      <c r="M76" s="47">
        <f t="shared" ref="M76:M93" si="50">D76+SUM(F76:I76)+K76</f>
        <v>40872.327399999995</v>
      </c>
      <c r="N76" s="47">
        <f t="shared" ref="N76:N93" si="51">E76+SUM(F76:I76)+L76</f>
        <v>27847.065699999996</v>
      </c>
      <c r="O76" s="34"/>
      <c r="P76" s="35"/>
      <c r="Q76" s="35"/>
      <c r="R76" s="33"/>
      <c r="S76" s="43"/>
      <c r="T76" s="19"/>
      <c r="U76" s="27">
        <f t="shared" ref="U76:U93" si="52">M76</f>
        <v>40872.327399999995</v>
      </c>
      <c r="V76" s="28">
        <f t="shared" ref="V76:V93" si="53">N76</f>
        <v>27847.065699999996</v>
      </c>
      <c r="W76" s="43"/>
      <c r="X76" s="19"/>
      <c r="Y76" s="42">
        <f t="shared" si="13"/>
        <v>0</v>
      </c>
      <c r="Z76" s="42">
        <f t="shared" si="14"/>
        <v>0</v>
      </c>
      <c r="AA76" s="96" t="e">
        <f t="shared" si="15"/>
        <v>#DIV/0!</v>
      </c>
      <c r="AB76" s="96" t="e">
        <f t="shared" si="16"/>
        <v>#DIV/0!</v>
      </c>
    </row>
    <row r="77" spans="1:28" hidden="1" outlineLevel="1" x14ac:dyDescent="0.25">
      <c r="A77" s="18"/>
      <c r="B77" s="38">
        <f t="shared" ref="B77:B93" si="54">B76+1</f>
        <v>3</v>
      </c>
      <c r="C77" s="54">
        <f t="shared" si="46"/>
        <v>129.07916999999998</v>
      </c>
      <c r="D77" s="33">
        <f>C77*VLOOKUP($A$75,Ταρίφες!$A$6:$G$23,$K$6,FALSE)*(1+$F$3)^(B77-1)</f>
        <v>60667.209899999987</v>
      </c>
      <c r="E77" s="33">
        <f>C77*VLOOKUP($A$75,Ταρίφες!$A$6:$G$23,$K$7,FALSE)*(1+$F$3)^(B77-1)</f>
        <v>43241.521949999995</v>
      </c>
      <c r="F77" s="46">
        <f t="shared" si="42"/>
        <v>-2080.8000000000002</v>
      </c>
      <c r="G77" s="47">
        <f t="shared" si="43"/>
        <v>-832.31999999999994</v>
      </c>
      <c r="H77" s="47">
        <f t="shared" si="44"/>
        <v>-2913.12</v>
      </c>
      <c r="I77" s="46">
        <f t="shared" si="45"/>
        <v>-4681.8</v>
      </c>
      <c r="J77" s="47">
        <f t="shared" si="47"/>
        <v>-12110</v>
      </c>
      <c r="K77" s="47">
        <f t="shared" si="48"/>
        <v>-9892.7841739999967</v>
      </c>
      <c r="L77" s="47">
        <f t="shared" si="49"/>
        <v>-5362.1053069999989</v>
      </c>
      <c r="M77" s="47">
        <f t="shared" si="50"/>
        <v>40266.385725999993</v>
      </c>
      <c r="N77" s="47">
        <f t="shared" si="51"/>
        <v>27371.376642999996</v>
      </c>
      <c r="O77" s="34"/>
      <c r="P77" s="35"/>
      <c r="Q77" s="35"/>
      <c r="R77" s="33"/>
      <c r="S77" s="43"/>
      <c r="T77" s="19"/>
      <c r="U77" s="27">
        <f t="shared" si="52"/>
        <v>40266.385725999993</v>
      </c>
      <c r="V77" s="28">
        <f t="shared" si="53"/>
        <v>27371.376642999996</v>
      </c>
      <c r="W77" s="43"/>
      <c r="X77" s="19"/>
      <c r="Y77" s="42">
        <f t="shared" ref="Y77:Y140" si="55">S77-W77</f>
        <v>0</v>
      </c>
      <c r="Z77" s="42">
        <f t="shared" ref="Z77:Z140" si="56">T77-X77</f>
        <v>0</v>
      </c>
      <c r="AA77" s="96" t="e">
        <f t="shared" ref="AA77:AA140" si="57">(P77)/-O77</f>
        <v>#DIV/0!</v>
      </c>
      <c r="AB77" s="96" t="e">
        <f t="shared" ref="AB77:AB140" si="58">(P77+Q77)/-O77</f>
        <v>#DIV/0!</v>
      </c>
    </row>
    <row r="78" spans="1:28" hidden="1" outlineLevel="1" x14ac:dyDescent="0.25">
      <c r="A78" s="18"/>
      <c r="B78" s="38">
        <f t="shared" si="54"/>
        <v>4</v>
      </c>
      <c r="C78" s="54">
        <f t="shared" si="46"/>
        <v>127.78837829999998</v>
      </c>
      <c r="D78" s="33">
        <f>C78*VLOOKUP($A$75,Ταρίφες!$A$6:$G$23,$K$6,FALSE)*(1+$F$3)^(B78-1)</f>
        <v>60060.537800999991</v>
      </c>
      <c r="E78" s="33">
        <f>C78*VLOOKUP($A$75,Ταρίφες!$A$6:$G$23,$K$7,FALSE)*(1+$F$3)^(B78-1)</f>
        <v>42809.106730499989</v>
      </c>
      <c r="F78" s="46">
        <f t="shared" si="42"/>
        <v>-2122.4159999999997</v>
      </c>
      <c r="G78" s="47">
        <f t="shared" si="43"/>
        <v>-848.96639999999991</v>
      </c>
      <c r="H78" s="47">
        <f t="shared" si="44"/>
        <v>-2971.3824</v>
      </c>
      <c r="I78" s="46">
        <f t="shared" si="45"/>
        <v>-4775.4359999999997</v>
      </c>
      <c r="J78" s="47">
        <f t="shared" si="47"/>
        <v>-12110</v>
      </c>
      <c r="K78" s="47">
        <f t="shared" si="48"/>
        <v>-9680.407620259999</v>
      </c>
      <c r="L78" s="47">
        <f t="shared" si="49"/>
        <v>-5195.0355419299976</v>
      </c>
      <c r="M78" s="47">
        <f t="shared" si="50"/>
        <v>39661.929380739995</v>
      </c>
      <c r="N78" s="47">
        <f t="shared" si="51"/>
        <v>26895.870388569994</v>
      </c>
      <c r="O78" s="34"/>
      <c r="P78" s="35"/>
      <c r="Q78" s="35"/>
      <c r="R78" s="33"/>
      <c r="S78" s="43"/>
      <c r="T78" s="19"/>
      <c r="U78" s="27">
        <f t="shared" si="52"/>
        <v>39661.929380739995</v>
      </c>
      <c r="V78" s="28">
        <f t="shared" si="53"/>
        <v>26895.870388569994</v>
      </c>
      <c r="W78" s="43"/>
      <c r="X78" s="19"/>
      <c r="Y78" s="42">
        <f t="shared" si="55"/>
        <v>0</v>
      </c>
      <c r="Z78" s="42">
        <f t="shared" si="56"/>
        <v>0</v>
      </c>
      <c r="AA78" s="96" t="e">
        <f t="shared" si="57"/>
        <v>#DIV/0!</v>
      </c>
      <c r="AB78" s="96" t="e">
        <f t="shared" si="58"/>
        <v>#DIV/0!</v>
      </c>
    </row>
    <row r="79" spans="1:28" hidden="1" outlineLevel="1" x14ac:dyDescent="0.25">
      <c r="A79" s="18"/>
      <c r="B79" s="38">
        <f t="shared" si="54"/>
        <v>5</v>
      </c>
      <c r="C79" s="54">
        <f t="shared" si="46"/>
        <v>126.51049451699997</v>
      </c>
      <c r="D79" s="33">
        <f>C79*VLOOKUP($A$75,Ταρίφες!$A$6:$G$23,$K$6,FALSE)*(1+$F$3)^(B79-1)</f>
        <v>59459.932422989987</v>
      </c>
      <c r="E79" s="33">
        <f>C79*VLOOKUP($A$75,Ταρίφες!$A$6:$G$23,$K$7,FALSE)*(1+$F$3)^(B79-1)</f>
        <v>42381.015663194987</v>
      </c>
      <c r="F79" s="46">
        <f t="shared" si="42"/>
        <v>-2164.8643200000001</v>
      </c>
      <c r="G79" s="47">
        <f t="shared" si="43"/>
        <v>-865.94572800000003</v>
      </c>
      <c r="H79" s="47">
        <f t="shared" si="44"/>
        <v>-3030.8100479999998</v>
      </c>
      <c r="I79" s="46">
        <f t="shared" si="45"/>
        <v>-4870.9447199999995</v>
      </c>
      <c r="J79" s="47">
        <f t="shared" si="47"/>
        <v>-12110</v>
      </c>
      <c r="K79" s="47">
        <f t="shared" si="48"/>
        <v>-9468.5155778173976</v>
      </c>
      <c r="L79" s="47">
        <f t="shared" si="49"/>
        <v>-5027.9972202706967</v>
      </c>
      <c r="M79" s="47">
        <f t="shared" si="50"/>
        <v>39058.852029172587</v>
      </c>
      <c r="N79" s="47">
        <f t="shared" si="51"/>
        <v>26420.453626924293</v>
      </c>
      <c r="O79" s="34"/>
      <c r="P79" s="35"/>
      <c r="Q79" s="35"/>
      <c r="R79" s="33"/>
      <c r="S79" s="43"/>
      <c r="T79" s="19"/>
      <c r="U79" s="27">
        <f t="shared" si="52"/>
        <v>39058.852029172587</v>
      </c>
      <c r="V79" s="28">
        <f t="shared" si="53"/>
        <v>26420.453626924293</v>
      </c>
      <c r="W79" s="43"/>
      <c r="X79" s="19"/>
      <c r="Y79" s="42">
        <f t="shared" si="55"/>
        <v>0</v>
      </c>
      <c r="Z79" s="42">
        <f t="shared" si="56"/>
        <v>0</v>
      </c>
      <c r="AA79" s="96" t="e">
        <f t="shared" si="57"/>
        <v>#DIV/0!</v>
      </c>
      <c r="AB79" s="96" t="e">
        <f t="shared" si="58"/>
        <v>#DIV/0!</v>
      </c>
    </row>
    <row r="80" spans="1:28" hidden="1" outlineLevel="1" x14ac:dyDescent="0.25">
      <c r="A80" s="18"/>
      <c r="B80" s="38">
        <f t="shared" si="54"/>
        <v>6</v>
      </c>
      <c r="C80" s="54">
        <f t="shared" si="46"/>
        <v>125.24538957182997</v>
      </c>
      <c r="D80" s="33">
        <f>C80*VLOOKUP($A$75,Ταρίφες!$A$6:$G$23,$K$6,FALSE)*(1+$F$3)^(B80-1)</f>
        <v>58865.333098760086</v>
      </c>
      <c r="E80" s="33">
        <f>C80*VLOOKUP($A$75,Ταρίφες!$A$6:$G$23,$K$7,FALSE)*(1+$F$3)^(B80-1)</f>
        <v>41957.205506563041</v>
      </c>
      <c r="F80" s="46">
        <f t="shared" si="42"/>
        <v>-2208.1616064</v>
      </c>
      <c r="G80" s="47">
        <f t="shared" si="43"/>
        <v>-883.26464255999997</v>
      </c>
      <c r="H80" s="47">
        <f t="shared" si="44"/>
        <v>-3091.4262489600001</v>
      </c>
      <c r="I80" s="46">
        <f t="shared" si="45"/>
        <v>-4968.3636144000002</v>
      </c>
      <c r="J80" s="47">
        <f t="shared" si="47"/>
        <v>-12110</v>
      </c>
      <c r="K80" s="47">
        <f t="shared" si="48"/>
        <v>-9257.0704164744238</v>
      </c>
      <c r="L80" s="47">
        <f t="shared" si="49"/>
        <v>-4860.9572425031911</v>
      </c>
      <c r="M80" s="47">
        <f t="shared" si="50"/>
        <v>38457.046569965663</v>
      </c>
      <c r="N80" s="47">
        <f t="shared" si="51"/>
        <v>25945.032151739852</v>
      </c>
      <c r="O80" s="34"/>
      <c r="P80" s="35"/>
      <c r="Q80" s="35"/>
      <c r="R80" s="33"/>
      <c r="S80" s="43"/>
      <c r="T80" s="19"/>
      <c r="U80" s="27">
        <f t="shared" si="52"/>
        <v>38457.046569965663</v>
      </c>
      <c r="V80" s="28">
        <f t="shared" si="53"/>
        <v>25945.032151739852</v>
      </c>
      <c r="W80" s="43"/>
      <c r="X80" s="19"/>
      <c r="Y80" s="42">
        <f t="shared" si="55"/>
        <v>0</v>
      </c>
      <c r="Z80" s="42">
        <f t="shared" si="56"/>
        <v>0</v>
      </c>
      <c r="AA80" s="96" t="e">
        <f t="shared" si="57"/>
        <v>#DIV/0!</v>
      </c>
      <c r="AB80" s="96" t="e">
        <f t="shared" si="58"/>
        <v>#DIV/0!</v>
      </c>
    </row>
    <row r="81" spans="1:28" hidden="1" outlineLevel="1" x14ac:dyDescent="0.25">
      <c r="A81" s="18"/>
      <c r="B81" s="38">
        <f t="shared" si="54"/>
        <v>7</v>
      </c>
      <c r="C81" s="54">
        <f t="shared" si="46"/>
        <v>123.99293567611167</v>
      </c>
      <c r="D81" s="33">
        <f>C81*VLOOKUP($A$75,Ταρίφες!$A$6:$G$23,$K$6,FALSE)*(1+$F$3)^(B81-1)</f>
        <v>58276.679767772483</v>
      </c>
      <c r="E81" s="33">
        <f>C81*VLOOKUP($A$75,Ταρίφες!$A$6:$G$23,$K$7,FALSE)*(1+$F$3)^(B81-1)</f>
        <v>41537.633451497408</v>
      </c>
      <c r="F81" s="46">
        <f t="shared" si="42"/>
        <v>-2252.3248385280003</v>
      </c>
      <c r="G81" s="47">
        <f t="shared" si="43"/>
        <v>-900.92993541120006</v>
      </c>
      <c r="H81" s="47">
        <f t="shared" si="44"/>
        <v>-3153.2547739392003</v>
      </c>
      <c r="I81" s="46">
        <f t="shared" si="45"/>
        <v>-5067.7308866880003</v>
      </c>
      <c r="J81" s="47">
        <f t="shared" si="47"/>
        <v>-12110</v>
      </c>
      <c r="K81" s="47">
        <f t="shared" si="48"/>
        <v>-9046.0342266335829</v>
      </c>
      <c r="L81" s="47">
        <f t="shared" si="49"/>
        <v>-4693.8821844020622</v>
      </c>
      <c r="M81" s="47">
        <f t="shared" si="50"/>
        <v>37856.405106572507</v>
      </c>
      <c r="N81" s="47">
        <f t="shared" si="51"/>
        <v>25469.510832528948</v>
      </c>
      <c r="O81" s="34"/>
      <c r="P81" s="35"/>
      <c r="Q81" s="35"/>
      <c r="R81" s="33"/>
      <c r="S81" s="43"/>
      <c r="T81" s="19"/>
      <c r="U81" s="27">
        <f t="shared" si="52"/>
        <v>37856.405106572507</v>
      </c>
      <c r="V81" s="28">
        <f t="shared" si="53"/>
        <v>25469.510832528948</v>
      </c>
      <c r="W81" s="43"/>
      <c r="X81" s="19"/>
      <c r="Y81" s="42">
        <f t="shared" si="55"/>
        <v>0</v>
      </c>
      <c r="Z81" s="42">
        <f t="shared" si="56"/>
        <v>0</v>
      </c>
      <c r="AA81" s="96" t="e">
        <f t="shared" si="57"/>
        <v>#DIV/0!</v>
      </c>
      <c r="AB81" s="96" t="e">
        <f t="shared" si="58"/>
        <v>#DIV/0!</v>
      </c>
    </row>
    <row r="82" spans="1:28" hidden="1" outlineLevel="1" x14ac:dyDescent="0.25">
      <c r="A82" s="18"/>
      <c r="B82" s="38">
        <f t="shared" si="54"/>
        <v>8</v>
      </c>
      <c r="C82" s="54">
        <f t="shared" si="46"/>
        <v>122.75300631935055</v>
      </c>
      <c r="D82" s="33">
        <f>C82*VLOOKUP($A$75,Ταρίφες!$A$6:$G$23,$K$6,FALSE)*(1+$F$3)^(B82-1)</f>
        <v>57693.91297009476</v>
      </c>
      <c r="E82" s="33">
        <f>C82*VLOOKUP($A$75,Ταρίφες!$A$6:$G$23,$K$7,FALSE)*(1+$F$3)^(B82-1)</f>
        <v>41122.257116982437</v>
      </c>
      <c r="F82" s="46">
        <f t="shared" si="42"/>
        <v>-2297.3713352985596</v>
      </c>
      <c r="G82" s="47">
        <f t="shared" si="43"/>
        <v>-918.94853411942381</v>
      </c>
      <c r="H82" s="47">
        <f t="shared" si="44"/>
        <v>-3216.3198694179837</v>
      </c>
      <c r="I82" s="46">
        <f t="shared" si="45"/>
        <v>-5169.0855044217587</v>
      </c>
      <c r="J82" s="47">
        <f t="shared" si="47"/>
        <v>-12110</v>
      </c>
      <c r="K82" s="47">
        <f t="shared" si="48"/>
        <v>-8835.3688089776279</v>
      </c>
      <c r="L82" s="47">
        <f t="shared" si="49"/>
        <v>-4526.7382871684249</v>
      </c>
      <c r="M82" s="47">
        <f t="shared" si="50"/>
        <v>37256.818917859404</v>
      </c>
      <c r="N82" s="47">
        <f t="shared" si="51"/>
        <v>24993.793586556287</v>
      </c>
      <c r="O82" s="34"/>
      <c r="P82" s="35"/>
      <c r="Q82" s="35"/>
      <c r="R82" s="33"/>
      <c r="S82" s="43"/>
      <c r="T82" s="19"/>
      <c r="U82" s="27">
        <f t="shared" si="52"/>
        <v>37256.818917859404</v>
      </c>
      <c r="V82" s="28">
        <f t="shared" si="53"/>
        <v>24993.793586556287</v>
      </c>
      <c r="W82" s="43"/>
      <c r="X82" s="19"/>
      <c r="Y82" s="42">
        <f t="shared" si="55"/>
        <v>0</v>
      </c>
      <c r="Z82" s="42">
        <f t="shared" si="56"/>
        <v>0</v>
      </c>
      <c r="AA82" s="96" t="e">
        <f t="shared" si="57"/>
        <v>#DIV/0!</v>
      </c>
      <c r="AB82" s="96" t="e">
        <f t="shared" si="58"/>
        <v>#DIV/0!</v>
      </c>
    </row>
    <row r="83" spans="1:28" hidden="1" outlineLevel="1" x14ac:dyDescent="0.25">
      <c r="A83" s="18"/>
      <c r="B83" s="38">
        <f t="shared" si="54"/>
        <v>9</v>
      </c>
      <c r="C83" s="54">
        <f t="shared" si="46"/>
        <v>121.52547625615703</v>
      </c>
      <c r="D83" s="33">
        <f>C83*VLOOKUP($A$75,Ταρίφες!$A$6:$G$23,$K$6,FALSE)*(1+$F$3)^(B83-1)</f>
        <v>57116.973840393803</v>
      </c>
      <c r="E83" s="33">
        <f>C83*VLOOKUP($A$75,Ταρίφες!$A$6:$G$23,$K$7,FALSE)*(1+$F$3)^(B83-1)</f>
        <v>40711.034545812603</v>
      </c>
      <c r="F83" s="46">
        <f t="shared" si="42"/>
        <v>-2343.318762004531</v>
      </c>
      <c r="G83" s="47">
        <f t="shared" si="43"/>
        <v>-937.32750480181244</v>
      </c>
      <c r="H83" s="47">
        <f t="shared" si="44"/>
        <v>-3280.6462668063436</v>
      </c>
      <c r="I83" s="46">
        <f t="shared" si="45"/>
        <v>-5272.4672145101949</v>
      </c>
      <c r="J83" s="47">
        <f t="shared" si="47"/>
        <v>-12110</v>
      </c>
      <c r="K83" s="47">
        <f t="shared" si="48"/>
        <v>-8625.0356639904403</v>
      </c>
      <c r="L83" s="47">
        <f t="shared" si="49"/>
        <v>-4359.4914473993276</v>
      </c>
      <c r="M83" s="47">
        <f t="shared" si="50"/>
        <v>36658.17842828048</v>
      </c>
      <c r="N83" s="47">
        <f t="shared" si="51"/>
        <v>24517.783350290396</v>
      </c>
      <c r="O83" s="34"/>
      <c r="P83" s="35"/>
      <c r="Q83" s="35"/>
      <c r="R83" s="33"/>
      <c r="S83" s="43"/>
      <c r="T83" s="19"/>
      <c r="U83" s="27">
        <f t="shared" si="52"/>
        <v>36658.17842828048</v>
      </c>
      <c r="V83" s="28">
        <f t="shared" si="53"/>
        <v>24517.783350290396</v>
      </c>
      <c r="W83" s="43"/>
      <c r="X83" s="19"/>
      <c r="Y83" s="42">
        <f t="shared" si="55"/>
        <v>0</v>
      </c>
      <c r="Z83" s="42">
        <f t="shared" si="56"/>
        <v>0</v>
      </c>
      <c r="AA83" s="96" t="e">
        <f t="shared" si="57"/>
        <v>#DIV/0!</v>
      </c>
      <c r="AB83" s="96" t="e">
        <f t="shared" si="58"/>
        <v>#DIV/0!</v>
      </c>
    </row>
    <row r="84" spans="1:28" hidden="1" outlineLevel="1" x14ac:dyDescent="0.25">
      <c r="A84" s="18"/>
      <c r="B84" s="38">
        <f t="shared" si="54"/>
        <v>10</v>
      </c>
      <c r="C84" s="54">
        <f t="shared" si="46"/>
        <v>120.31022149359546</v>
      </c>
      <c r="D84" s="33">
        <f>C84*VLOOKUP($A$75,Ταρίφες!$A$6:$G$23,$K$6,FALSE)*(1+$F$3)^(B84-1)</f>
        <v>56545.804101989866</v>
      </c>
      <c r="E84" s="33">
        <f>C84*VLOOKUP($A$75,Ταρίφες!$A$6:$G$23,$K$7,FALSE)*(1+$F$3)^(B84-1)</f>
        <v>40303.924200354479</v>
      </c>
      <c r="F84" s="46">
        <f t="shared" si="42"/>
        <v>-2390.1851372446217</v>
      </c>
      <c r="G84" s="47">
        <f t="shared" si="43"/>
        <v>-956.07405489784867</v>
      </c>
      <c r="H84" s="47">
        <f t="shared" si="44"/>
        <v>-3346.2591921424705</v>
      </c>
      <c r="I84" s="46">
        <f t="shared" si="45"/>
        <v>-5377.9165588003989</v>
      </c>
      <c r="J84" s="47">
        <f t="shared" si="47"/>
        <v>-12110</v>
      </c>
      <c r="K84" s="47">
        <f t="shared" si="48"/>
        <v>-8414.9959813151763</v>
      </c>
      <c r="L84" s="47">
        <f t="shared" si="49"/>
        <v>-4192.1072068899766</v>
      </c>
      <c r="M84" s="47">
        <f t="shared" si="50"/>
        <v>36060.373177589354</v>
      </c>
      <c r="N84" s="47">
        <f t="shared" si="51"/>
        <v>24041.382050379161</v>
      </c>
      <c r="O84" s="34"/>
      <c r="P84" s="35"/>
      <c r="Q84" s="35"/>
      <c r="R84" s="33"/>
      <c r="S84" s="43"/>
      <c r="T84" s="19"/>
      <c r="U84" s="27">
        <f t="shared" si="52"/>
        <v>36060.373177589354</v>
      </c>
      <c r="V84" s="28">
        <f t="shared" si="53"/>
        <v>24041.382050379161</v>
      </c>
      <c r="W84" s="43"/>
      <c r="X84" s="19"/>
      <c r="Y84" s="42">
        <f t="shared" si="55"/>
        <v>0</v>
      </c>
      <c r="Z84" s="42">
        <f t="shared" si="56"/>
        <v>0</v>
      </c>
      <c r="AA84" s="96" t="e">
        <f t="shared" si="57"/>
        <v>#DIV/0!</v>
      </c>
      <c r="AB84" s="96" t="e">
        <f t="shared" si="58"/>
        <v>#DIV/0!</v>
      </c>
    </row>
    <row r="85" spans="1:28" hidden="1" outlineLevel="1" x14ac:dyDescent="0.25">
      <c r="A85" s="18"/>
      <c r="B85" s="38">
        <f t="shared" si="54"/>
        <v>11</v>
      </c>
      <c r="C85" s="54">
        <f t="shared" si="46"/>
        <v>119.10711927865951</v>
      </c>
      <c r="D85" s="33">
        <f>C85*VLOOKUP($A$75,Ταρίφες!$A$6:$G$23,$K$6,FALSE)*(1+$F$3)^(B85-1)</f>
        <v>55980.346060969969</v>
      </c>
      <c r="E85" s="33">
        <f>C85*VLOOKUP($A$75,Ταρίφες!$A$6:$G$23,$K$7,FALSE)*(1+$F$3)^(B85-1)</f>
        <v>39900.884958350936</v>
      </c>
      <c r="F85" s="46">
        <f t="shared" si="42"/>
        <v>-2437.9888399895144</v>
      </c>
      <c r="G85" s="47">
        <f t="shared" si="43"/>
        <v>-975.1955359958057</v>
      </c>
      <c r="H85" s="47">
        <f t="shared" si="44"/>
        <v>-3413.18437598532</v>
      </c>
      <c r="I85" s="46">
        <f t="shared" si="45"/>
        <v>-5485.4748899764072</v>
      </c>
      <c r="J85" s="47">
        <f t="shared" si="47"/>
        <v>-12110</v>
      </c>
      <c r="K85" s="47">
        <f t="shared" si="48"/>
        <v>-8205.2106289459607</v>
      </c>
      <c r="L85" s="47">
        <f t="shared" si="49"/>
        <v>-4024.5507422650116</v>
      </c>
      <c r="M85" s="47">
        <f t="shared" si="50"/>
        <v>35463.291790076961</v>
      </c>
      <c r="N85" s="47">
        <f t="shared" si="51"/>
        <v>23564.490574138879</v>
      </c>
      <c r="O85" s="34"/>
      <c r="P85" s="35"/>
      <c r="Q85" s="35"/>
      <c r="R85" s="33"/>
      <c r="S85" s="43"/>
      <c r="T85" s="19"/>
      <c r="U85" s="27">
        <f t="shared" si="52"/>
        <v>35463.291790076961</v>
      </c>
      <c r="V85" s="28">
        <f t="shared" si="53"/>
        <v>23564.490574138879</v>
      </c>
      <c r="W85" s="43"/>
      <c r="X85" s="19"/>
      <c r="Y85" s="42">
        <f t="shared" si="55"/>
        <v>0</v>
      </c>
      <c r="Z85" s="42">
        <f t="shared" si="56"/>
        <v>0</v>
      </c>
      <c r="AA85" s="96" t="e">
        <f t="shared" si="57"/>
        <v>#DIV/0!</v>
      </c>
      <c r="AB85" s="96" t="e">
        <f t="shared" si="58"/>
        <v>#DIV/0!</v>
      </c>
    </row>
    <row r="86" spans="1:28" hidden="1" outlineLevel="1" x14ac:dyDescent="0.25">
      <c r="A86" s="18"/>
      <c r="B86" s="38">
        <f t="shared" si="54"/>
        <v>12</v>
      </c>
      <c r="C86" s="54">
        <f t="shared" si="46"/>
        <v>117.91604808587292</v>
      </c>
      <c r="D86" s="33">
        <f>C86*VLOOKUP($A$75,Ταρίφες!$A$6:$G$23,$K$6,FALSE)*(1+$F$3)^(B86-1)</f>
        <v>55420.54260036027</v>
      </c>
      <c r="E86" s="33">
        <f>C86*VLOOKUP($A$75,Ταρίφες!$A$6:$G$23,$K$7,FALSE)*(1+$F$3)^(B86-1)</f>
        <v>39501.876108767428</v>
      </c>
      <c r="F86" s="46">
        <f t="shared" si="42"/>
        <v>-2486.7486167893039</v>
      </c>
      <c r="G86" s="47">
        <f t="shared" si="43"/>
        <v>-994.69944671572159</v>
      </c>
      <c r="H86" s="47">
        <f t="shared" si="44"/>
        <v>-3481.4480635050259</v>
      </c>
      <c r="I86" s="46">
        <f t="shared" si="45"/>
        <v>-5595.1843877759338</v>
      </c>
      <c r="J86" s="47">
        <f t="shared" si="47"/>
        <v>-12110</v>
      </c>
      <c r="K86" s="47">
        <f t="shared" si="48"/>
        <v>-7995.6401422493136</v>
      </c>
      <c r="L86" s="47">
        <f t="shared" si="49"/>
        <v>-3856.786854435175</v>
      </c>
      <c r="M86" s="47">
        <f t="shared" si="50"/>
        <v>34866.821943324969</v>
      </c>
      <c r="N86" s="47">
        <f t="shared" si="51"/>
        <v>23087.008739546269</v>
      </c>
      <c r="O86" s="34"/>
      <c r="P86" s="35"/>
      <c r="Q86" s="35"/>
      <c r="R86" s="33"/>
      <c r="S86" s="43"/>
      <c r="T86" s="19"/>
      <c r="U86" s="27">
        <f t="shared" si="52"/>
        <v>34866.821943324969</v>
      </c>
      <c r="V86" s="28">
        <f t="shared" si="53"/>
        <v>23087.008739546269</v>
      </c>
      <c r="W86" s="43"/>
      <c r="X86" s="19"/>
      <c r="Y86" s="42">
        <f t="shared" si="55"/>
        <v>0</v>
      </c>
      <c r="Z86" s="42">
        <f t="shared" si="56"/>
        <v>0</v>
      </c>
      <c r="AA86" s="96" t="e">
        <f t="shared" si="57"/>
        <v>#DIV/0!</v>
      </c>
      <c r="AB86" s="96" t="e">
        <f t="shared" si="58"/>
        <v>#DIV/0!</v>
      </c>
    </row>
    <row r="87" spans="1:28" hidden="1" outlineLevel="1" x14ac:dyDescent="0.25">
      <c r="A87" s="18"/>
      <c r="B87" s="38">
        <f t="shared" si="54"/>
        <v>13</v>
      </c>
      <c r="C87" s="54">
        <f t="shared" si="46"/>
        <v>116.73688760501419</v>
      </c>
      <c r="D87" s="33">
        <f>C87*VLOOKUP($A$75,Ταρίφες!$A$6:$G$23,$K$6,FALSE)*(1+$F$3)^(B87-1)</f>
        <v>54866.337174356668</v>
      </c>
      <c r="E87" s="33">
        <f>C87*VLOOKUP($A$75,Ταρίφες!$A$6:$G$23,$K$7,FALSE)*(1+$F$3)^(B87-1)</f>
        <v>39106.857347679754</v>
      </c>
      <c r="F87" s="46">
        <f t="shared" si="42"/>
        <v>-2536.4835891250905</v>
      </c>
      <c r="G87" s="47">
        <f t="shared" si="43"/>
        <v>-1014.5934356500362</v>
      </c>
      <c r="H87" s="47">
        <f t="shared" si="44"/>
        <v>-3551.0770247751266</v>
      </c>
      <c r="I87" s="46">
        <f t="shared" si="45"/>
        <v>-5707.0880755314538</v>
      </c>
      <c r="J87" s="47">
        <f t="shared" si="47"/>
        <v>-12110</v>
      </c>
      <c r="K87" s="47">
        <f t="shared" si="48"/>
        <v>-7786.24471281149</v>
      </c>
      <c r="L87" s="47">
        <f t="shared" si="49"/>
        <v>-3688.7799578754925</v>
      </c>
      <c r="M87" s="47">
        <f t="shared" si="50"/>
        <v>34270.850336463474</v>
      </c>
      <c r="N87" s="47">
        <f t="shared" si="51"/>
        <v>22608.835264722555</v>
      </c>
      <c r="O87" s="34"/>
      <c r="P87" s="35"/>
      <c r="Q87" s="35"/>
      <c r="R87" s="33"/>
      <c r="S87" s="43"/>
      <c r="T87" s="19"/>
      <c r="U87" s="27">
        <f t="shared" si="52"/>
        <v>34270.850336463474</v>
      </c>
      <c r="V87" s="28">
        <f t="shared" si="53"/>
        <v>22608.835264722555</v>
      </c>
      <c r="W87" s="43"/>
      <c r="X87" s="19"/>
      <c r="Y87" s="42">
        <f t="shared" si="55"/>
        <v>0</v>
      </c>
      <c r="Z87" s="42">
        <f t="shared" si="56"/>
        <v>0</v>
      </c>
      <c r="AA87" s="96" t="e">
        <f t="shared" si="57"/>
        <v>#DIV/0!</v>
      </c>
      <c r="AB87" s="96" t="e">
        <f t="shared" si="58"/>
        <v>#DIV/0!</v>
      </c>
    </row>
    <row r="88" spans="1:28" hidden="1" outlineLevel="1" x14ac:dyDescent="0.25">
      <c r="A88" s="18"/>
      <c r="B88" s="38">
        <f t="shared" si="54"/>
        <v>14</v>
      </c>
      <c r="C88" s="54">
        <f t="shared" si="46"/>
        <v>115.56951872896404</v>
      </c>
      <c r="D88" s="33">
        <f>C88*VLOOKUP($A$75,Ταρίφες!$A$6:$G$23,$K$6,FALSE)*(1+$F$3)^(B88-1)</f>
        <v>54317.673802613099</v>
      </c>
      <c r="E88" s="33">
        <f>C88*VLOOKUP($A$75,Ταρίφες!$A$6:$G$23,$K$7,FALSE)*(1+$F$3)^(B88-1)</f>
        <v>38715.788774202956</v>
      </c>
      <c r="F88" s="46">
        <f t="shared" si="42"/>
        <v>-2587.213260907592</v>
      </c>
      <c r="G88" s="47">
        <f t="shared" si="43"/>
        <v>-1034.8853043630368</v>
      </c>
      <c r="H88" s="47">
        <f t="shared" si="44"/>
        <v>-3622.098565270629</v>
      </c>
      <c r="I88" s="46">
        <f t="shared" si="45"/>
        <v>-5821.2298370420822</v>
      </c>
      <c r="J88" s="47">
        <f t="shared" si="47"/>
        <v>-12110</v>
      </c>
      <c r="K88" s="47">
        <f t="shared" si="48"/>
        <v>-7576.9841771077381</v>
      </c>
      <c r="L88" s="47">
        <f t="shared" si="49"/>
        <v>-3520.4940697211009</v>
      </c>
      <c r="M88" s="47">
        <f t="shared" si="50"/>
        <v>33675.262657922016</v>
      </c>
      <c r="N88" s="47">
        <f t="shared" si="51"/>
        <v>22129.867736898515</v>
      </c>
      <c r="O88" s="34"/>
      <c r="P88" s="35"/>
      <c r="Q88" s="35"/>
      <c r="R88" s="33"/>
      <c r="S88" s="43"/>
      <c r="T88" s="19"/>
      <c r="U88" s="27">
        <f t="shared" si="52"/>
        <v>33675.262657922016</v>
      </c>
      <c r="V88" s="28">
        <f t="shared" si="53"/>
        <v>22129.867736898515</v>
      </c>
      <c r="W88" s="43"/>
      <c r="X88" s="19"/>
      <c r="Y88" s="42">
        <f t="shared" si="55"/>
        <v>0</v>
      </c>
      <c r="Z88" s="42">
        <f t="shared" si="56"/>
        <v>0</v>
      </c>
      <c r="AA88" s="96" t="e">
        <f t="shared" si="57"/>
        <v>#DIV/0!</v>
      </c>
      <c r="AB88" s="96" t="e">
        <f t="shared" si="58"/>
        <v>#DIV/0!</v>
      </c>
    </row>
    <row r="89" spans="1:28" hidden="1" outlineLevel="1" x14ac:dyDescent="0.25">
      <c r="A89" s="18"/>
      <c r="B89" s="38">
        <f t="shared" si="54"/>
        <v>15</v>
      </c>
      <c r="C89" s="54">
        <f t="shared" si="46"/>
        <v>114.4138235416744</v>
      </c>
      <c r="D89" s="33">
        <f>C89*VLOOKUP($A$75,Ταρίφες!$A$6:$G$23,$K$6,FALSE)*(1+$F$3)^(B89-1)</f>
        <v>53774.497064586969</v>
      </c>
      <c r="E89" s="33">
        <f>C89*VLOOKUP($A$75,Ταρίφες!$A$6:$G$23,$K$7,FALSE)*(1+$F$3)^(B89-1)</f>
        <v>38328.630886460924</v>
      </c>
      <c r="F89" s="46">
        <f t="shared" si="42"/>
        <v>-2638.9575261257442</v>
      </c>
      <c r="G89" s="47">
        <f t="shared" si="43"/>
        <v>-1055.5830104502977</v>
      </c>
      <c r="H89" s="47">
        <f t="shared" si="44"/>
        <v>-3694.5405365760421</v>
      </c>
      <c r="I89" s="46">
        <f t="shared" si="45"/>
        <v>-5937.6544337829246</v>
      </c>
      <c r="J89" s="47">
        <f t="shared" si="47"/>
        <v>-12110</v>
      </c>
      <c r="K89" s="47">
        <f t="shared" si="48"/>
        <v>-7367.81800498951</v>
      </c>
      <c r="L89" s="47">
        <f t="shared" si="49"/>
        <v>-3351.892798676738</v>
      </c>
      <c r="M89" s="47">
        <f t="shared" si="50"/>
        <v>33079.943552662451</v>
      </c>
      <c r="N89" s="47">
        <f t="shared" si="51"/>
        <v>21650.002580849177</v>
      </c>
      <c r="O89" s="34"/>
      <c r="P89" s="35"/>
      <c r="Q89" s="35"/>
      <c r="R89" s="33"/>
      <c r="S89" s="43"/>
      <c r="T89" s="19"/>
      <c r="U89" s="27">
        <f t="shared" si="52"/>
        <v>33079.943552662451</v>
      </c>
      <c r="V89" s="28">
        <f t="shared" si="53"/>
        <v>21650.002580849177</v>
      </c>
      <c r="W89" s="43"/>
      <c r="X89" s="19"/>
      <c r="Y89" s="42">
        <f t="shared" si="55"/>
        <v>0</v>
      </c>
      <c r="Z89" s="42">
        <f t="shared" si="56"/>
        <v>0</v>
      </c>
      <c r="AA89" s="96" t="e">
        <f t="shared" si="57"/>
        <v>#DIV/0!</v>
      </c>
      <c r="AB89" s="96" t="e">
        <f t="shared" si="58"/>
        <v>#DIV/0!</v>
      </c>
    </row>
    <row r="90" spans="1:28" hidden="1" outlineLevel="1" x14ac:dyDescent="0.25">
      <c r="A90" s="18"/>
      <c r="B90" s="38">
        <f t="shared" si="54"/>
        <v>16</v>
      </c>
      <c r="C90" s="54">
        <f t="shared" si="46"/>
        <v>113.26968530625766</v>
      </c>
      <c r="D90" s="33">
        <f>C90*VLOOKUP($A$75,Ταρίφες!$A$6:$G$23,$K$6,FALSE)*(1+$F$3)^(B90-1)</f>
        <v>53236.752093941097</v>
      </c>
      <c r="E90" s="33">
        <f>C90*VLOOKUP($A$75,Ταρίφες!$A$6:$G$23,$K$7,FALSE)*(1+$F$3)^(B90-1)</f>
        <v>37945.344577596312</v>
      </c>
      <c r="F90" s="46">
        <f t="shared" si="42"/>
        <v>-2691.7366766482583</v>
      </c>
      <c r="G90" s="47">
        <f t="shared" si="43"/>
        <v>-1076.6946706593035</v>
      </c>
      <c r="H90" s="47">
        <f t="shared" si="44"/>
        <v>-3768.4313473075617</v>
      </c>
      <c r="I90" s="46">
        <f t="shared" si="45"/>
        <v>-6056.4075224585813</v>
      </c>
      <c r="J90" s="47">
        <f t="shared" si="47"/>
        <v>-12110</v>
      </c>
      <c r="K90" s="47">
        <f t="shared" si="48"/>
        <v>-7158.7052879855228</v>
      </c>
      <c r="L90" s="47">
        <f t="shared" si="49"/>
        <v>-3182.9393337358783</v>
      </c>
      <c r="M90" s="47">
        <f t="shared" si="50"/>
        <v>32484.776588881872</v>
      </c>
      <c r="N90" s="47">
        <f t="shared" si="51"/>
        <v>21169.135026786731</v>
      </c>
      <c r="O90" s="34"/>
      <c r="P90" s="35"/>
      <c r="Q90" s="35"/>
      <c r="R90" s="33"/>
      <c r="S90" s="43"/>
      <c r="T90" s="19"/>
      <c r="U90" s="27">
        <f t="shared" si="52"/>
        <v>32484.776588881872</v>
      </c>
      <c r="V90" s="28">
        <f t="shared" si="53"/>
        <v>21169.135026786731</v>
      </c>
      <c r="W90" s="43"/>
      <c r="X90" s="19"/>
      <c r="Y90" s="42">
        <f t="shared" si="55"/>
        <v>0</v>
      </c>
      <c r="Z90" s="42">
        <f t="shared" si="56"/>
        <v>0</v>
      </c>
      <c r="AA90" s="96" t="e">
        <f t="shared" si="57"/>
        <v>#DIV/0!</v>
      </c>
      <c r="AB90" s="96" t="e">
        <f t="shared" si="58"/>
        <v>#DIV/0!</v>
      </c>
    </row>
    <row r="91" spans="1:28" hidden="1" outlineLevel="1" x14ac:dyDescent="0.25">
      <c r="A91" s="18"/>
      <c r="B91" s="38">
        <f t="shared" si="54"/>
        <v>17</v>
      </c>
      <c r="C91" s="54">
        <f t="shared" si="46"/>
        <v>112.13698845319507</v>
      </c>
      <c r="D91" s="33">
        <f>C91*VLOOKUP($A$75,Ταρίφες!$A$6:$G$23,$K$6,FALSE)*(1+$F$3)^(B91-1)</f>
        <v>52704.384573001684</v>
      </c>
      <c r="E91" s="33">
        <f>C91*VLOOKUP($A$75,Ταρίφες!$A$6:$G$23,$K$7,FALSE)*(1+$F$3)^(B91-1)</f>
        <v>37565.891131820346</v>
      </c>
      <c r="F91" s="46">
        <f t="shared" si="42"/>
        <v>-2745.5714101812241</v>
      </c>
      <c r="G91" s="47">
        <f t="shared" si="43"/>
        <v>-1098.2285640724897</v>
      </c>
      <c r="H91" s="47">
        <f t="shared" si="44"/>
        <v>-3843.7999742537136</v>
      </c>
      <c r="I91" s="46">
        <f t="shared" si="45"/>
        <v>-6177.5356729077539</v>
      </c>
      <c r="J91" s="47">
        <f t="shared" si="47"/>
        <v>-12110</v>
      </c>
      <c r="K91" s="47">
        <f t="shared" si="48"/>
        <v>-6949.6047274124903</v>
      </c>
      <c r="L91" s="47">
        <f t="shared" si="49"/>
        <v>-3013.596432705343</v>
      </c>
      <c r="M91" s="47">
        <f t="shared" si="50"/>
        <v>31889.644224174011</v>
      </c>
      <c r="N91" s="47">
        <f t="shared" si="51"/>
        <v>20687.15907769982</v>
      </c>
      <c r="O91" s="34"/>
      <c r="P91" s="35"/>
      <c r="Q91" s="35"/>
      <c r="R91" s="33"/>
      <c r="S91" s="43"/>
      <c r="T91" s="19"/>
      <c r="U91" s="27">
        <f t="shared" si="52"/>
        <v>31889.644224174011</v>
      </c>
      <c r="V91" s="28">
        <f t="shared" si="53"/>
        <v>20687.15907769982</v>
      </c>
      <c r="W91" s="43"/>
      <c r="X91" s="19"/>
      <c r="Y91" s="42">
        <f t="shared" si="55"/>
        <v>0</v>
      </c>
      <c r="Z91" s="42">
        <f t="shared" si="56"/>
        <v>0</v>
      </c>
      <c r="AA91" s="96" t="e">
        <f t="shared" si="57"/>
        <v>#DIV/0!</v>
      </c>
      <c r="AB91" s="96" t="e">
        <f t="shared" si="58"/>
        <v>#DIV/0!</v>
      </c>
    </row>
    <row r="92" spans="1:28" hidden="1" outlineLevel="1" x14ac:dyDescent="0.25">
      <c r="A92" s="18"/>
      <c r="B92" s="38">
        <f t="shared" si="54"/>
        <v>18</v>
      </c>
      <c r="C92" s="54">
        <f t="shared" si="46"/>
        <v>111.01561856866311</v>
      </c>
      <c r="D92" s="33">
        <f>C92*VLOOKUP($A$75,Ταρίφες!$A$6:$G$23,$K$6,FALSE)*(1+$F$3)^(B92-1)</f>
        <v>52177.340727271665</v>
      </c>
      <c r="E92" s="33">
        <f>C92*VLOOKUP($A$75,Ταρίφες!$A$6:$G$23,$K$7,FALSE)*(1+$F$3)^(B92-1)</f>
        <v>37190.232220502141</v>
      </c>
      <c r="F92" s="46">
        <f t="shared" si="42"/>
        <v>-2800.4828383848489</v>
      </c>
      <c r="G92" s="47">
        <f t="shared" si="43"/>
        <v>-1120.1931353539396</v>
      </c>
      <c r="H92" s="47">
        <f t="shared" si="44"/>
        <v>-3920.6759737387883</v>
      </c>
      <c r="I92" s="46">
        <f t="shared" si="45"/>
        <v>-6301.0863863659097</v>
      </c>
      <c r="J92" s="47">
        <f t="shared" si="47"/>
        <v>-12110</v>
      </c>
      <c r="K92" s="47">
        <f t="shared" si="48"/>
        <v>-6740.4746222913273</v>
      </c>
      <c r="L92" s="47">
        <f t="shared" si="49"/>
        <v>-2843.8264105312505</v>
      </c>
      <c r="M92" s="47">
        <f t="shared" si="50"/>
        <v>31294.427771136852</v>
      </c>
      <c r="N92" s="47">
        <f t="shared" si="51"/>
        <v>20203.967476127404</v>
      </c>
      <c r="O92" s="34"/>
      <c r="P92" s="35"/>
      <c r="Q92" s="35"/>
      <c r="R92" s="33"/>
      <c r="S92" s="43"/>
      <c r="T92" s="19"/>
      <c r="U92" s="27">
        <f t="shared" si="52"/>
        <v>31294.427771136852</v>
      </c>
      <c r="V92" s="28">
        <f t="shared" si="53"/>
        <v>20203.967476127404</v>
      </c>
      <c r="W92" s="43"/>
      <c r="X92" s="19"/>
      <c r="Y92" s="42">
        <f t="shared" si="55"/>
        <v>0</v>
      </c>
      <c r="Z92" s="42">
        <f t="shared" si="56"/>
        <v>0</v>
      </c>
      <c r="AA92" s="96" t="e">
        <f t="shared" si="57"/>
        <v>#DIV/0!</v>
      </c>
      <c r="AB92" s="96" t="e">
        <f t="shared" si="58"/>
        <v>#DIV/0!</v>
      </c>
    </row>
    <row r="93" spans="1:28" hidden="1" outlineLevel="1" x14ac:dyDescent="0.25">
      <c r="A93" s="63"/>
      <c r="B93" s="62">
        <f t="shared" si="54"/>
        <v>19</v>
      </c>
      <c r="C93" s="64">
        <f t="shared" si="46"/>
        <v>109.90546238297648</v>
      </c>
      <c r="D93" s="33">
        <f>C93*VLOOKUP($A$75,Ταρίφες!$A$6:$G$23,$K$6,FALSE)*(1+$F$3)^(B93-1)</f>
        <v>51655.567319998947</v>
      </c>
      <c r="E93" s="33">
        <f>C93*VLOOKUP($A$75,Ταρίφες!$A$6:$G$23,$K$7,FALSE)*(1+$F$3)^(B93-1)</f>
        <v>36818.329898297125</v>
      </c>
      <c r="F93" s="66">
        <f t="shared" si="42"/>
        <v>-2856.4924951525454</v>
      </c>
      <c r="G93" s="67">
        <f t="shared" si="43"/>
        <v>-1142.5969980610182</v>
      </c>
      <c r="H93" s="67">
        <f t="shared" si="44"/>
        <v>-3999.0894932135634</v>
      </c>
      <c r="I93" s="66">
        <f t="shared" si="45"/>
        <v>-6427.1081140932274</v>
      </c>
      <c r="J93" s="67">
        <f t="shared" si="47"/>
        <v>-12110</v>
      </c>
      <c r="K93" s="67">
        <f t="shared" si="48"/>
        <v>-6531.272857064434</v>
      </c>
      <c r="L93" s="67">
        <f t="shared" si="49"/>
        <v>-2673.5911274219598</v>
      </c>
      <c r="M93" s="67">
        <f t="shared" si="50"/>
        <v>30699.007362414159</v>
      </c>
      <c r="N93" s="67">
        <f t="shared" si="51"/>
        <v>19719.451670354807</v>
      </c>
      <c r="O93" s="68"/>
      <c r="P93" s="69"/>
      <c r="Q93" s="69"/>
      <c r="R93" s="65"/>
      <c r="S93" s="70"/>
      <c r="T93" s="71"/>
      <c r="U93" s="27">
        <f t="shared" si="52"/>
        <v>30699.007362414159</v>
      </c>
      <c r="V93" s="28">
        <f t="shared" si="53"/>
        <v>19719.451670354807</v>
      </c>
      <c r="W93" s="70"/>
      <c r="X93" s="71"/>
      <c r="Y93" s="42">
        <f t="shared" si="55"/>
        <v>0</v>
      </c>
      <c r="Z93" s="42">
        <f t="shared" si="56"/>
        <v>0</v>
      </c>
      <c r="AA93" s="96" t="e">
        <f t="shared" si="57"/>
        <v>#DIV/0!</v>
      </c>
      <c r="AB93" s="96" t="e">
        <f t="shared" si="58"/>
        <v>#DIV/0!</v>
      </c>
    </row>
    <row r="94" spans="1:28" s="40" customFormat="1" hidden="1" outlineLevel="1" x14ac:dyDescent="0.25">
      <c r="A94" s="18"/>
      <c r="B94" s="38">
        <v>20</v>
      </c>
      <c r="C94" s="54">
        <f>C92*(1-$F$2)</f>
        <v>109.90546238297648</v>
      </c>
      <c r="D94" s="33">
        <f>C94*VLOOKUP($A$75,Ταρίφες!$A$6:$G$23,$K$6,FALSE)*(1+$F$3)^(B94-1)</f>
        <v>51655.567319998947</v>
      </c>
      <c r="E94" s="33">
        <f>C94*VLOOKUP($A$75,Ταρίφες!$A$6:$G$23,$K$7,FALSE)*(1+$F$3)^(B94-1)</f>
        <v>36818.329898297125</v>
      </c>
      <c r="F94" s="46">
        <f t="shared" si="42"/>
        <v>-2913.6223450555963</v>
      </c>
      <c r="G94" s="47">
        <f t="shared" si="43"/>
        <v>-1165.4489380222385</v>
      </c>
      <c r="H94" s="47">
        <f t="shared" ref="H94" si="59">-$K$4*(1+$F$4)^(B94-$B$12)</f>
        <v>-4079.0712830778348</v>
      </c>
      <c r="I94" s="46">
        <f t="shared" ref="I94" si="60">-(4500*(1+$F$4)^(B94-$B$12))</f>
        <v>-6555.6502763750914</v>
      </c>
      <c r="J94" s="47">
        <f t="shared" si="47"/>
        <v>-12110</v>
      </c>
      <c r="K94" s="47">
        <f t="shared" ref="K94" si="61">-(D94+SUM(F94:J94))*$F$5</f>
        <v>-6456.2613641417283</v>
      </c>
      <c r="L94" s="47">
        <f t="shared" ref="L94" si="62">-(E94+SUM(F94:J94))*$F$5</f>
        <v>-2598.5796344992546</v>
      </c>
      <c r="M94" s="47">
        <f t="shared" ref="M94" si="63">D94+SUM(F94:I94)+K94</f>
        <v>30485.513113326459</v>
      </c>
      <c r="N94" s="47">
        <f t="shared" ref="N94" si="64">E94+SUM(F94:I94)+L94</f>
        <v>19505.957421267107</v>
      </c>
      <c r="O94" s="34"/>
      <c r="P94" s="35"/>
      <c r="Q94" s="35"/>
      <c r="R94" s="33"/>
      <c r="S94" s="43"/>
      <c r="T94" s="19"/>
      <c r="U94" s="72">
        <f>M94</f>
        <v>30485.513113326459</v>
      </c>
      <c r="V94" s="73">
        <f t="shared" ref="V94" si="65">N94</f>
        <v>19505.957421267107</v>
      </c>
      <c r="W94" s="43"/>
      <c r="X94" s="19"/>
      <c r="Y94" s="42">
        <f t="shared" si="55"/>
        <v>0</v>
      </c>
      <c r="Z94" s="42">
        <f t="shared" si="56"/>
        <v>0</v>
      </c>
      <c r="AA94" s="96" t="e">
        <f t="shared" si="57"/>
        <v>#DIV/0!</v>
      </c>
      <c r="AB94" s="96" t="e">
        <f t="shared" si="58"/>
        <v>#DIV/0!</v>
      </c>
    </row>
    <row r="95" spans="1:28" s="40" customFormat="1" hidden="1" outlineLevel="1" x14ac:dyDescent="0.25">
      <c r="B95" s="50"/>
      <c r="C95" s="56"/>
      <c r="D95" s="22"/>
      <c r="E95" s="22"/>
      <c r="F95" s="48"/>
      <c r="G95" s="51"/>
      <c r="H95" s="51"/>
      <c r="I95" s="48"/>
      <c r="J95" s="51"/>
      <c r="K95" s="51"/>
      <c r="L95" s="51"/>
      <c r="M95" s="51"/>
      <c r="N95" s="51"/>
      <c r="O95" s="17"/>
      <c r="P95" s="25"/>
      <c r="Q95" s="25"/>
      <c r="R95" s="22"/>
      <c r="S95" s="52"/>
      <c r="T95" s="44"/>
      <c r="U95" s="74">
        <f>O96</f>
        <v>-290000</v>
      </c>
      <c r="V95" s="74">
        <f>R96</f>
        <v>-219213.623046875</v>
      </c>
      <c r="W95" s="52"/>
      <c r="X95" s="44"/>
      <c r="Y95" s="42">
        <f t="shared" si="55"/>
        <v>0</v>
      </c>
      <c r="Z95" s="42">
        <f t="shared" si="56"/>
        <v>0</v>
      </c>
      <c r="AA95" s="96" t="e">
        <f t="shared" si="57"/>
        <v>#DIV/0!</v>
      </c>
      <c r="AB95" s="96" t="e">
        <f t="shared" si="58"/>
        <v>#DIV/0!</v>
      </c>
    </row>
    <row r="96" spans="1:28" collapsed="1" x14ac:dyDescent="0.25">
      <c r="A96" s="32" t="str">
        <f>Ταρίφες!A14</f>
        <v>Α Τριμ. 2011</v>
      </c>
      <c r="B96" s="38">
        <f>1</f>
        <v>1</v>
      </c>
      <c r="C96" s="54">
        <f>$F$8*$K$2/1000</f>
        <v>131.69999999999999</v>
      </c>
      <c r="D96" s="33">
        <f>C96*VLOOKUP($A$96,Ταρίφες!$A$6:$G$23,$K$6,FALSE)*(1+$F$3)^(B96-1)</f>
        <v>59923.499999999993</v>
      </c>
      <c r="E96" s="33">
        <f>C96*VLOOKUP($A$96,Ταρίφες!$A$6:$G$23,$K$7,FALSE)*(1+$F$3)^(B96-1)</f>
        <v>43460.999999999993</v>
      </c>
      <c r="F96" s="46">
        <f t="shared" ref="F96:F115" si="66">-($K$5*(1+$F$4)^(B96-$B$12))</f>
        <v>-2000</v>
      </c>
      <c r="G96" s="47">
        <f t="shared" ref="G96:G115" si="67">-$K$2*10*(1+$F$4)^(B96-$B$12)</f>
        <v>-800</v>
      </c>
      <c r="H96" s="47">
        <f t="shared" ref="H96:H114" si="68">-$K$4*(1+$F$4)^(B96-$B$12)</f>
        <v>-2800</v>
      </c>
      <c r="I96" s="46">
        <f t="shared" ref="I96:I114" si="69">-(4500*(1+$F$4)^(B96-$B$12))</f>
        <v>-4500</v>
      </c>
      <c r="J96" s="47">
        <f>$O$96*4%</f>
        <v>-11600</v>
      </c>
      <c r="K96" s="47">
        <f>-(D96+SUM(F96:J96))*$F$5</f>
        <v>-9938.1099999999988</v>
      </c>
      <c r="L96" s="47">
        <f>-(E96+SUM(F96:J96))*$F$5</f>
        <v>-5657.8599999999979</v>
      </c>
      <c r="M96" s="47">
        <f>D96+SUM(F96:I96)+K96</f>
        <v>39885.389999999992</v>
      </c>
      <c r="N96" s="47">
        <f>E96+SUM(F96:I96)+L96</f>
        <v>27703.139999999996</v>
      </c>
      <c r="O96" s="35">
        <f>-VLOOKUP(A96,'Κόστος Κατασκευής'!$A$4:$Q$17,$K$8,FALSE)</f>
        <v>-290000</v>
      </c>
      <c r="P96" s="36">
        <f>$K$3</f>
        <v>96000</v>
      </c>
      <c r="Q96" s="36">
        <f>Q75*15/16</f>
        <v>-25213.623046875004</v>
      </c>
      <c r="R96" s="37">
        <f>SUM(O96:Q96)</f>
        <v>-219213.623046875</v>
      </c>
      <c r="S96" s="42">
        <f>IRR(U95:U115)</f>
        <v>0.10905584530143808</v>
      </c>
      <c r="T96" s="42">
        <f>IRR(V95:V115)</f>
        <v>9.3113395280171263E-2</v>
      </c>
      <c r="U96" s="27">
        <f>M96</f>
        <v>39885.389999999992</v>
      </c>
      <c r="V96" s="28">
        <f>N96</f>
        <v>27703.139999999996</v>
      </c>
      <c r="W96" s="42">
        <f>'IRR ΔΣ Ισχύον'!S96</f>
        <v>0.14163943499010023</v>
      </c>
      <c r="X96" s="42">
        <f>'IRR ΔΣ Ισχύον'!T96</f>
        <v>0.13907681103795033</v>
      </c>
      <c r="Y96" s="42">
        <f t="shared" si="55"/>
        <v>-3.2583589688662151E-2</v>
      </c>
      <c r="Z96" s="42">
        <f t="shared" si="56"/>
        <v>-4.5963415757779069E-2</v>
      </c>
      <c r="AA96" s="96">
        <f t="shared" si="57"/>
        <v>0.33103448275862069</v>
      </c>
      <c r="AB96" s="96">
        <f t="shared" si="58"/>
        <v>0.24409095501077585</v>
      </c>
    </row>
    <row r="97" spans="1:28" hidden="1" outlineLevel="1" x14ac:dyDescent="0.25">
      <c r="A97" s="18"/>
      <c r="B97" s="38">
        <f>B96+1</f>
        <v>2</v>
      </c>
      <c r="C97" s="54">
        <f t="shared" ref="C97:C114" si="70">C96*(1-$F$2)</f>
        <v>130.38299999999998</v>
      </c>
      <c r="D97" s="33">
        <f>C97*VLOOKUP($A$96,Ταρίφες!$A$6:$G$23,$K$6,FALSE)*(1+$F$3)^(B97-1)</f>
        <v>59324.264999999992</v>
      </c>
      <c r="E97" s="33">
        <f>C97*VLOOKUP($A$96,Ταρίφες!$A$6:$G$23,$K$7,FALSE)*(1+$F$3)^(B97-1)</f>
        <v>43026.389999999992</v>
      </c>
      <c r="F97" s="46">
        <f t="shared" si="66"/>
        <v>-2040</v>
      </c>
      <c r="G97" s="47">
        <f t="shared" si="67"/>
        <v>-816</v>
      </c>
      <c r="H97" s="47">
        <f t="shared" si="68"/>
        <v>-2856</v>
      </c>
      <c r="I97" s="46">
        <f t="shared" si="69"/>
        <v>-4590</v>
      </c>
      <c r="J97" s="47">
        <f t="shared" ref="J97:J115" si="71">$O$96*4%</f>
        <v>-11600</v>
      </c>
      <c r="K97" s="47">
        <f t="shared" ref="K97:K114" si="72">-(D97+SUM(F97:J97))*$F$5</f>
        <v>-9729.7888999999977</v>
      </c>
      <c r="L97" s="47">
        <f t="shared" ref="L97:L114" si="73">-(E97+SUM(F97:J97))*$F$5</f>
        <v>-5492.3413999999984</v>
      </c>
      <c r="M97" s="47">
        <f t="shared" ref="M97:M114" si="74">D97+SUM(F97:I97)+K97</f>
        <v>39292.476099999993</v>
      </c>
      <c r="N97" s="47">
        <f t="shared" ref="N97:N114" si="75">E97+SUM(F97:I97)+L97</f>
        <v>27232.048599999995</v>
      </c>
      <c r="O97" s="34"/>
      <c r="P97" s="35"/>
      <c r="Q97" s="35"/>
      <c r="R97" s="33"/>
      <c r="S97" s="43"/>
      <c r="T97" s="19"/>
      <c r="U97" s="27">
        <f t="shared" ref="U97:U114" si="76">M97</f>
        <v>39292.476099999993</v>
      </c>
      <c r="V97" s="28">
        <f t="shared" ref="V97:V114" si="77">N97</f>
        <v>27232.048599999995</v>
      </c>
      <c r="W97" s="43"/>
      <c r="X97" s="19"/>
      <c r="Y97" s="42">
        <f t="shared" si="55"/>
        <v>0</v>
      </c>
      <c r="Z97" s="42">
        <f t="shared" si="56"/>
        <v>0</v>
      </c>
      <c r="AA97" s="96" t="e">
        <f t="shared" si="57"/>
        <v>#DIV/0!</v>
      </c>
      <c r="AB97" s="96" t="e">
        <f t="shared" si="58"/>
        <v>#DIV/0!</v>
      </c>
    </row>
    <row r="98" spans="1:28" hidden="1" outlineLevel="1" x14ac:dyDescent="0.25">
      <c r="A98" s="18"/>
      <c r="B98" s="38">
        <f t="shared" ref="B98:B114" si="78">B97+1</f>
        <v>3</v>
      </c>
      <c r="C98" s="54">
        <f t="shared" si="70"/>
        <v>129.07916999999998</v>
      </c>
      <c r="D98" s="33">
        <f>C98*VLOOKUP($A$96,Ταρίφες!$A$6:$G$23,$K$6,FALSE)*(1+$F$3)^(B98-1)</f>
        <v>58731.022349999992</v>
      </c>
      <c r="E98" s="33">
        <f>C98*VLOOKUP($A$96,Ταρίφες!$A$6:$G$23,$K$7,FALSE)*(1+$F$3)^(B98-1)</f>
        <v>42596.126099999994</v>
      </c>
      <c r="F98" s="46">
        <f t="shared" si="66"/>
        <v>-2080.8000000000002</v>
      </c>
      <c r="G98" s="47">
        <f t="shared" si="67"/>
        <v>-832.31999999999994</v>
      </c>
      <c r="H98" s="47">
        <f t="shared" si="68"/>
        <v>-2913.12</v>
      </c>
      <c r="I98" s="46">
        <f t="shared" si="69"/>
        <v>-4681.8</v>
      </c>
      <c r="J98" s="47">
        <f t="shared" si="71"/>
        <v>-11600</v>
      </c>
      <c r="K98" s="47">
        <f t="shared" si="72"/>
        <v>-9521.9754109999976</v>
      </c>
      <c r="L98" s="47">
        <f t="shared" si="73"/>
        <v>-5326.9023859999988</v>
      </c>
      <c r="M98" s="47">
        <f t="shared" si="74"/>
        <v>38701.006938999992</v>
      </c>
      <c r="N98" s="47">
        <f t="shared" si="75"/>
        <v>26761.183713999995</v>
      </c>
      <c r="O98" s="34"/>
      <c r="P98" s="35"/>
      <c r="Q98" s="35"/>
      <c r="R98" s="33"/>
      <c r="S98" s="43"/>
      <c r="T98" s="19"/>
      <c r="U98" s="27">
        <f t="shared" si="76"/>
        <v>38701.006938999992</v>
      </c>
      <c r="V98" s="28">
        <f t="shared" si="77"/>
        <v>26761.183713999995</v>
      </c>
      <c r="W98" s="43"/>
      <c r="X98" s="19"/>
      <c r="Y98" s="42">
        <f t="shared" si="55"/>
        <v>0</v>
      </c>
      <c r="Z98" s="42">
        <f t="shared" si="56"/>
        <v>0</v>
      </c>
      <c r="AA98" s="96" t="e">
        <f t="shared" si="57"/>
        <v>#DIV/0!</v>
      </c>
      <c r="AB98" s="96" t="e">
        <f t="shared" si="58"/>
        <v>#DIV/0!</v>
      </c>
    </row>
    <row r="99" spans="1:28" hidden="1" outlineLevel="1" x14ac:dyDescent="0.25">
      <c r="A99" s="18"/>
      <c r="B99" s="38">
        <f t="shared" si="78"/>
        <v>4</v>
      </c>
      <c r="C99" s="54">
        <f t="shared" si="70"/>
        <v>127.78837829999998</v>
      </c>
      <c r="D99" s="33">
        <f>C99*VLOOKUP($A$96,Ταρίφες!$A$6:$G$23,$K$6,FALSE)*(1+$F$3)^(B99-1)</f>
        <v>58143.712126499988</v>
      </c>
      <c r="E99" s="33">
        <f>C99*VLOOKUP($A$96,Ταρίφες!$A$6:$G$23,$K$7,FALSE)*(1+$F$3)^(B99-1)</f>
        <v>42170.16483899999</v>
      </c>
      <c r="F99" s="46">
        <f t="shared" si="66"/>
        <v>-2122.4159999999997</v>
      </c>
      <c r="G99" s="47">
        <f t="shared" si="67"/>
        <v>-848.96639999999991</v>
      </c>
      <c r="H99" s="47">
        <f t="shared" si="68"/>
        <v>-2971.3824</v>
      </c>
      <c r="I99" s="46">
        <f t="shared" si="69"/>
        <v>-4775.4359999999997</v>
      </c>
      <c r="J99" s="47">
        <f t="shared" si="71"/>
        <v>-11600</v>
      </c>
      <c r="K99" s="47">
        <f t="shared" si="72"/>
        <v>-9314.6329448899978</v>
      </c>
      <c r="L99" s="47">
        <f t="shared" si="73"/>
        <v>-5161.5106501399978</v>
      </c>
      <c r="M99" s="47">
        <f t="shared" si="74"/>
        <v>38110.878381609989</v>
      </c>
      <c r="N99" s="47">
        <f t="shared" si="75"/>
        <v>26290.453388859994</v>
      </c>
      <c r="O99" s="34"/>
      <c r="P99" s="35"/>
      <c r="Q99" s="35"/>
      <c r="R99" s="33"/>
      <c r="S99" s="43"/>
      <c r="T99" s="19"/>
      <c r="U99" s="27">
        <f t="shared" si="76"/>
        <v>38110.878381609989</v>
      </c>
      <c r="V99" s="28">
        <f t="shared" si="77"/>
        <v>26290.453388859994</v>
      </c>
      <c r="W99" s="43"/>
      <c r="X99" s="19"/>
      <c r="Y99" s="42">
        <f t="shared" si="55"/>
        <v>0</v>
      </c>
      <c r="Z99" s="42">
        <f t="shared" si="56"/>
        <v>0</v>
      </c>
      <c r="AA99" s="96" t="e">
        <f t="shared" si="57"/>
        <v>#DIV/0!</v>
      </c>
      <c r="AB99" s="96" t="e">
        <f t="shared" si="58"/>
        <v>#DIV/0!</v>
      </c>
    </row>
    <row r="100" spans="1:28" hidden="1" outlineLevel="1" x14ac:dyDescent="0.25">
      <c r="A100" s="18"/>
      <c r="B100" s="38">
        <f t="shared" si="78"/>
        <v>5</v>
      </c>
      <c r="C100" s="54">
        <f t="shared" si="70"/>
        <v>126.51049451699997</v>
      </c>
      <c r="D100" s="33">
        <f>C100*VLOOKUP($A$96,Ταρίφες!$A$6:$G$23,$K$6,FALSE)*(1+$F$3)^(B100-1)</f>
        <v>57562.275005234987</v>
      </c>
      <c r="E100" s="33">
        <f>C100*VLOOKUP($A$96,Ταρίφες!$A$6:$G$23,$K$7,FALSE)*(1+$F$3)^(B100-1)</f>
        <v>41748.463190609989</v>
      </c>
      <c r="F100" s="46">
        <f t="shared" si="66"/>
        <v>-2164.8643200000001</v>
      </c>
      <c r="G100" s="47">
        <f t="shared" si="67"/>
        <v>-865.94572800000003</v>
      </c>
      <c r="H100" s="47">
        <f t="shared" si="68"/>
        <v>-3030.8100479999998</v>
      </c>
      <c r="I100" s="46">
        <f t="shared" si="69"/>
        <v>-4870.9447199999995</v>
      </c>
      <c r="J100" s="47">
        <f t="shared" si="71"/>
        <v>-11600</v>
      </c>
      <c r="K100" s="47">
        <f t="shared" si="72"/>
        <v>-9107.7246492010981</v>
      </c>
      <c r="L100" s="47">
        <f t="shared" si="73"/>
        <v>-4996.1335773985975</v>
      </c>
      <c r="M100" s="47">
        <f t="shared" si="74"/>
        <v>37521.985540033893</v>
      </c>
      <c r="N100" s="47">
        <f t="shared" si="75"/>
        <v>25819.764797211392</v>
      </c>
      <c r="O100" s="34"/>
      <c r="P100" s="35"/>
      <c r="Q100" s="35"/>
      <c r="R100" s="33"/>
      <c r="S100" s="43"/>
      <c r="T100" s="19"/>
      <c r="U100" s="27">
        <f t="shared" si="76"/>
        <v>37521.985540033893</v>
      </c>
      <c r="V100" s="28">
        <f t="shared" si="77"/>
        <v>25819.764797211392</v>
      </c>
      <c r="W100" s="43"/>
      <c r="X100" s="19"/>
      <c r="Y100" s="42">
        <f t="shared" si="55"/>
        <v>0</v>
      </c>
      <c r="Z100" s="42">
        <f t="shared" si="56"/>
        <v>0</v>
      </c>
      <c r="AA100" s="96" t="e">
        <f t="shared" si="57"/>
        <v>#DIV/0!</v>
      </c>
      <c r="AB100" s="96" t="e">
        <f t="shared" si="58"/>
        <v>#DIV/0!</v>
      </c>
    </row>
    <row r="101" spans="1:28" hidden="1" outlineLevel="1" x14ac:dyDescent="0.25">
      <c r="A101" s="18"/>
      <c r="B101" s="38">
        <f t="shared" si="78"/>
        <v>6</v>
      </c>
      <c r="C101" s="54">
        <f t="shared" si="70"/>
        <v>125.24538957182997</v>
      </c>
      <c r="D101" s="33">
        <f>C101*VLOOKUP($A$96,Ταρίφες!$A$6:$G$23,$K$6,FALSE)*(1+$F$3)^(B101-1)</f>
        <v>56986.652255182642</v>
      </c>
      <c r="E101" s="33">
        <f>C101*VLOOKUP($A$96,Ταρίφες!$A$6:$G$23,$K$7,FALSE)*(1+$F$3)^(B101-1)</f>
        <v>41330.978558703893</v>
      </c>
      <c r="F101" s="46">
        <f t="shared" si="66"/>
        <v>-2208.1616064</v>
      </c>
      <c r="G101" s="47">
        <f t="shared" si="67"/>
        <v>-883.26464255999997</v>
      </c>
      <c r="H101" s="47">
        <f t="shared" si="68"/>
        <v>-3091.4262489600001</v>
      </c>
      <c r="I101" s="46">
        <f t="shared" si="69"/>
        <v>-4968.3636144000002</v>
      </c>
      <c r="J101" s="47">
        <f t="shared" si="71"/>
        <v>-11600</v>
      </c>
      <c r="K101" s="47">
        <f t="shared" si="72"/>
        <v>-8901.2133971442872</v>
      </c>
      <c r="L101" s="47">
        <f t="shared" si="73"/>
        <v>-4830.7382360598131</v>
      </c>
      <c r="M101" s="47">
        <f t="shared" si="74"/>
        <v>36934.222745718354</v>
      </c>
      <c r="N101" s="47">
        <f t="shared" si="75"/>
        <v>25349.024210324082</v>
      </c>
      <c r="O101" s="34"/>
      <c r="P101" s="35"/>
      <c r="Q101" s="35"/>
      <c r="R101" s="33"/>
      <c r="S101" s="43"/>
      <c r="T101" s="19"/>
      <c r="U101" s="27">
        <f t="shared" si="76"/>
        <v>36934.222745718354</v>
      </c>
      <c r="V101" s="28">
        <f t="shared" si="77"/>
        <v>25349.024210324082</v>
      </c>
      <c r="W101" s="43"/>
      <c r="X101" s="19"/>
      <c r="Y101" s="42">
        <f t="shared" si="55"/>
        <v>0</v>
      </c>
      <c r="Z101" s="42">
        <f t="shared" si="56"/>
        <v>0</v>
      </c>
      <c r="AA101" s="96" t="e">
        <f t="shared" si="57"/>
        <v>#DIV/0!</v>
      </c>
      <c r="AB101" s="96" t="e">
        <f t="shared" si="58"/>
        <v>#DIV/0!</v>
      </c>
    </row>
    <row r="102" spans="1:28" hidden="1" outlineLevel="1" x14ac:dyDescent="0.25">
      <c r="A102" s="18"/>
      <c r="B102" s="38">
        <f t="shared" si="78"/>
        <v>7</v>
      </c>
      <c r="C102" s="54">
        <f t="shared" si="70"/>
        <v>123.99293567611167</v>
      </c>
      <c r="D102" s="33">
        <f>C102*VLOOKUP($A$96,Ταρίφες!$A$6:$G$23,$K$6,FALSE)*(1+$F$3)^(B102-1)</f>
        <v>56416.785732630808</v>
      </c>
      <c r="E102" s="33">
        <f>C102*VLOOKUP($A$96,Ταρίφες!$A$6:$G$23,$K$7,FALSE)*(1+$F$3)^(B102-1)</f>
        <v>40917.668773116849</v>
      </c>
      <c r="F102" s="46">
        <f t="shared" si="66"/>
        <v>-2252.3248385280003</v>
      </c>
      <c r="G102" s="47">
        <f t="shared" si="67"/>
        <v>-900.92993541120006</v>
      </c>
      <c r="H102" s="47">
        <f t="shared" si="68"/>
        <v>-3153.2547739392003</v>
      </c>
      <c r="I102" s="46">
        <f t="shared" si="69"/>
        <v>-5067.7308866880003</v>
      </c>
      <c r="J102" s="47">
        <f t="shared" si="71"/>
        <v>-11600</v>
      </c>
      <c r="K102" s="47">
        <f t="shared" si="72"/>
        <v>-8695.061777496745</v>
      </c>
      <c r="L102" s="47">
        <f t="shared" si="73"/>
        <v>-4665.2913680231168</v>
      </c>
      <c r="M102" s="47">
        <f t="shared" si="74"/>
        <v>36347.483520567657</v>
      </c>
      <c r="N102" s="47">
        <f t="shared" si="75"/>
        <v>24878.136970527332</v>
      </c>
      <c r="O102" s="34"/>
      <c r="P102" s="35"/>
      <c r="Q102" s="35"/>
      <c r="R102" s="33"/>
      <c r="S102" s="43"/>
      <c r="T102" s="19"/>
      <c r="U102" s="27">
        <f t="shared" si="76"/>
        <v>36347.483520567657</v>
      </c>
      <c r="V102" s="28">
        <f t="shared" si="77"/>
        <v>24878.136970527332</v>
      </c>
      <c r="W102" s="43"/>
      <c r="X102" s="19"/>
      <c r="Y102" s="42">
        <f t="shared" si="55"/>
        <v>0</v>
      </c>
      <c r="Z102" s="42">
        <f t="shared" si="56"/>
        <v>0</v>
      </c>
      <c r="AA102" s="96" t="e">
        <f t="shared" si="57"/>
        <v>#DIV/0!</v>
      </c>
      <c r="AB102" s="96" t="e">
        <f t="shared" si="58"/>
        <v>#DIV/0!</v>
      </c>
    </row>
    <row r="103" spans="1:28" hidden="1" outlineLevel="1" x14ac:dyDescent="0.25">
      <c r="A103" s="18"/>
      <c r="B103" s="38">
        <f t="shared" si="78"/>
        <v>8</v>
      </c>
      <c r="C103" s="54">
        <f t="shared" si="70"/>
        <v>122.75300631935055</v>
      </c>
      <c r="D103" s="33">
        <f>C103*VLOOKUP($A$96,Ταρίφες!$A$6:$G$23,$K$6,FALSE)*(1+$F$3)^(B103-1)</f>
        <v>55852.617875304502</v>
      </c>
      <c r="E103" s="33">
        <f>C103*VLOOKUP($A$96,Ταρίφες!$A$6:$G$23,$K$7,FALSE)*(1+$F$3)^(B103-1)</f>
        <v>40508.492085385682</v>
      </c>
      <c r="F103" s="46">
        <f t="shared" si="66"/>
        <v>-2297.3713352985596</v>
      </c>
      <c r="G103" s="47">
        <f t="shared" si="67"/>
        <v>-918.94853411942381</v>
      </c>
      <c r="H103" s="47">
        <f t="shared" si="68"/>
        <v>-3216.3198694179837</v>
      </c>
      <c r="I103" s="46">
        <f t="shared" si="69"/>
        <v>-5169.0855044217587</v>
      </c>
      <c r="J103" s="47">
        <f t="shared" si="71"/>
        <v>-11600</v>
      </c>
      <c r="K103" s="47">
        <f t="shared" si="72"/>
        <v>-8489.2320843321613</v>
      </c>
      <c r="L103" s="47">
        <f t="shared" si="73"/>
        <v>-4499.7593789532684</v>
      </c>
      <c r="M103" s="47">
        <f t="shared" si="74"/>
        <v>35761.660547714608</v>
      </c>
      <c r="N103" s="47">
        <f t="shared" si="75"/>
        <v>24407.007463174687</v>
      </c>
      <c r="O103" s="34"/>
      <c r="P103" s="35"/>
      <c r="Q103" s="35"/>
      <c r="R103" s="33"/>
      <c r="S103" s="43"/>
      <c r="T103" s="19"/>
      <c r="U103" s="27">
        <f t="shared" si="76"/>
        <v>35761.660547714608</v>
      </c>
      <c r="V103" s="28">
        <f t="shared" si="77"/>
        <v>24407.007463174687</v>
      </c>
      <c r="W103" s="43"/>
      <c r="X103" s="19"/>
      <c r="Y103" s="42">
        <f t="shared" si="55"/>
        <v>0</v>
      </c>
      <c r="Z103" s="42">
        <f t="shared" si="56"/>
        <v>0</v>
      </c>
      <c r="AA103" s="96" t="e">
        <f t="shared" si="57"/>
        <v>#DIV/0!</v>
      </c>
      <c r="AB103" s="96" t="e">
        <f t="shared" si="58"/>
        <v>#DIV/0!</v>
      </c>
    </row>
    <row r="104" spans="1:28" hidden="1" outlineLevel="1" x14ac:dyDescent="0.25">
      <c r="A104" s="18"/>
      <c r="B104" s="38">
        <f t="shared" si="78"/>
        <v>9</v>
      </c>
      <c r="C104" s="54">
        <f t="shared" si="70"/>
        <v>121.52547625615703</v>
      </c>
      <c r="D104" s="33">
        <f>C104*VLOOKUP($A$96,Ταρίφες!$A$6:$G$23,$K$6,FALSE)*(1+$F$3)^(B104-1)</f>
        <v>55294.091696551448</v>
      </c>
      <c r="E104" s="33">
        <f>C104*VLOOKUP($A$96,Ταρίφες!$A$6:$G$23,$K$7,FALSE)*(1+$F$3)^(B104-1)</f>
        <v>40103.407164531818</v>
      </c>
      <c r="F104" s="46">
        <f t="shared" si="66"/>
        <v>-2343.318762004531</v>
      </c>
      <c r="G104" s="47">
        <f t="shared" si="67"/>
        <v>-937.32750480181244</v>
      </c>
      <c r="H104" s="47">
        <f t="shared" si="68"/>
        <v>-3280.6462668063436</v>
      </c>
      <c r="I104" s="46">
        <f t="shared" si="69"/>
        <v>-5272.4672145101949</v>
      </c>
      <c r="J104" s="47">
        <f t="shared" si="71"/>
        <v>-11600</v>
      </c>
      <c r="K104" s="47">
        <f t="shared" si="72"/>
        <v>-8283.6863065914276</v>
      </c>
      <c r="L104" s="47">
        <f t="shared" si="73"/>
        <v>-4334.108328266324</v>
      </c>
      <c r="M104" s="47">
        <f t="shared" si="74"/>
        <v>35176.645641837138</v>
      </c>
      <c r="N104" s="47">
        <f t="shared" si="75"/>
        <v>23935.539088142614</v>
      </c>
      <c r="O104" s="34"/>
      <c r="P104" s="35"/>
      <c r="Q104" s="35"/>
      <c r="R104" s="33"/>
      <c r="S104" s="43"/>
      <c r="T104" s="19"/>
      <c r="U104" s="27">
        <f t="shared" si="76"/>
        <v>35176.645641837138</v>
      </c>
      <c r="V104" s="28">
        <f t="shared" si="77"/>
        <v>23935.539088142614</v>
      </c>
      <c r="W104" s="43"/>
      <c r="X104" s="19"/>
      <c r="Y104" s="42">
        <f t="shared" si="55"/>
        <v>0</v>
      </c>
      <c r="Z104" s="42">
        <f t="shared" si="56"/>
        <v>0</v>
      </c>
      <c r="AA104" s="96" t="e">
        <f t="shared" si="57"/>
        <v>#DIV/0!</v>
      </c>
      <c r="AB104" s="96" t="e">
        <f t="shared" si="58"/>
        <v>#DIV/0!</v>
      </c>
    </row>
    <row r="105" spans="1:28" hidden="1" outlineLevel="1" x14ac:dyDescent="0.25">
      <c r="A105" s="18"/>
      <c r="B105" s="38">
        <f t="shared" si="78"/>
        <v>10</v>
      </c>
      <c r="C105" s="54">
        <f t="shared" si="70"/>
        <v>120.31022149359546</v>
      </c>
      <c r="D105" s="33">
        <f>C105*VLOOKUP($A$96,Ταρίφες!$A$6:$G$23,$K$6,FALSE)*(1+$F$3)^(B105-1)</f>
        <v>54741.150779585936</v>
      </c>
      <c r="E105" s="33">
        <f>C105*VLOOKUP($A$96,Ταρίφες!$A$6:$G$23,$K$7,FALSE)*(1+$F$3)^(B105-1)</f>
        <v>39702.373092886504</v>
      </c>
      <c r="F105" s="46">
        <f t="shared" si="66"/>
        <v>-2390.1851372446217</v>
      </c>
      <c r="G105" s="47">
        <f t="shared" si="67"/>
        <v>-956.07405489784867</v>
      </c>
      <c r="H105" s="47">
        <f t="shared" si="68"/>
        <v>-3346.2591921424705</v>
      </c>
      <c r="I105" s="46">
        <f t="shared" si="69"/>
        <v>-5377.9165588003989</v>
      </c>
      <c r="J105" s="47">
        <f t="shared" si="71"/>
        <v>-11600</v>
      </c>
      <c r="K105" s="47">
        <f t="shared" si="72"/>
        <v>-8078.3861174901549</v>
      </c>
      <c r="L105" s="47">
        <f t="shared" si="73"/>
        <v>-4168.3039189483025</v>
      </c>
      <c r="M105" s="47">
        <f t="shared" si="74"/>
        <v>34592.329719010442</v>
      </c>
      <c r="N105" s="47">
        <f t="shared" si="75"/>
        <v>23463.634230852862</v>
      </c>
      <c r="O105" s="34"/>
      <c r="P105" s="35"/>
      <c r="Q105" s="35"/>
      <c r="R105" s="33"/>
      <c r="S105" s="43"/>
      <c r="T105" s="19"/>
      <c r="U105" s="27">
        <f t="shared" si="76"/>
        <v>34592.329719010442</v>
      </c>
      <c r="V105" s="28">
        <f t="shared" si="77"/>
        <v>23463.634230852862</v>
      </c>
      <c r="W105" s="43"/>
      <c r="X105" s="19"/>
      <c r="Y105" s="42">
        <f t="shared" si="55"/>
        <v>0</v>
      </c>
      <c r="Z105" s="42">
        <f t="shared" si="56"/>
        <v>0</v>
      </c>
      <c r="AA105" s="96" t="e">
        <f t="shared" si="57"/>
        <v>#DIV/0!</v>
      </c>
      <c r="AB105" s="96" t="e">
        <f t="shared" si="58"/>
        <v>#DIV/0!</v>
      </c>
    </row>
    <row r="106" spans="1:28" hidden="1" outlineLevel="1" x14ac:dyDescent="0.25">
      <c r="A106" s="18"/>
      <c r="B106" s="38">
        <f t="shared" si="78"/>
        <v>11</v>
      </c>
      <c r="C106" s="54">
        <f t="shared" si="70"/>
        <v>119.10711927865951</v>
      </c>
      <c r="D106" s="33">
        <f>C106*VLOOKUP($A$96,Ταρίφες!$A$6:$G$23,$K$6,FALSE)*(1+$F$3)^(B106-1)</f>
        <v>54193.73927179008</v>
      </c>
      <c r="E106" s="33">
        <f>C106*VLOOKUP($A$96,Ταρίφες!$A$6:$G$23,$K$7,FALSE)*(1+$F$3)^(B106-1)</f>
        <v>39305.34936195764</v>
      </c>
      <c r="F106" s="46">
        <f t="shared" si="66"/>
        <v>-2437.9888399895144</v>
      </c>
      <c r="G106" s="47">
        <f t="shared" si="67"/>
        <v>-975.1955359958057</v>
      </c>
      <c r="H106" s="47">
        <f t="shared" si="68"/>
        <v>-3413.18437598532</v>
      </c>
      <c r="I106" s="46">
        <f t="shared" si="69"/>
        <v>-5485.4748899764072</v>
      </c>
      <c r="J106" s="47">
        <f t="shared" si="71"/>
        <v>-11600</v>
      </c>
      <c r="K106" s="47">
        <f t="shared" si="72"/>
        <v>-7873.2928637591895</v>
      </c>
      <c r="L106" s="47">
        <f t="shared" si="73"/>
        <v>-4002.311487202755</v>
      </c>
      <c r="M106" s="47">
        <f t="shared" si="74"/>
        <v>34008.602766083844</v>
      </c>
      <c r="N106" s="47">
        <f t="shared" si="75"/>
        <v>22991.19423280784</v>
      </c>
      <c r="O106" s="34"/>
      <c r="P106" s="35"/>
      <c r="Q106" s="35"/>
      <c r="R106" s="33"/>
      <c r="S106" s="43"/>
      <c r="T106" s="19"/>
      <c r="U106" s="27">
        <f t="shared" si="76"/>
        <v>34008.602766083844</v>
      </c>
      <c r="V106" s="28">
        <f t="shared" si="77"/>
        <v>22991.19423280784</v>
      </c>
      <c r="W106" s="43"/>
      <c r="X106" s="19"/>
      <c r="Y106" s="42">
        <f t="shared" si="55"/>
        <v>0</v>
      </c>
      <c r="Z106" s="42">
        <f t="shared" si="56"/>
        <v>0</v>
      </c>
      <c r="AA106" s="96" t="e">
        <f t="shared" si="57"/>
        <v>#DIV/0!</v>
      </c>
      <c r="AB106" s="96" t="e">
        <f t="shared" si="58"/>
        <v>#DIV/0!</v>
      </c>
    </row>
    <row r="107" spans="1:28" hidden="1" outlineLevel="1" x14ac:dyDescent="0.25">
      <c r="A107" s="18"/>
      <c r="B107" s="38">
        <f t="shared" si="78"/>
        <v>12</v>
      </c>
      <c r="C107" s="54">
        <f t="shared" si="70"/>
        <v>117.91604808587292</v>
      </c>
      <c r="D107" s="33">
        <f>C107*VLOOKUP($A$96,Ταρίφες!$A$6:$G$23,$K$6,FALSE)*(1+$F$3)^(B107-1)</f>
        <v>53651.801879072176</v>
      </c>
      <c r="E107" s="33">
        <f>C107*VLOOKUP($A$96,Ταρίφες!$A$6:$G$23,$K$7,FALSE)*(1+$F$3)^(B107-1)</f>
        <v>38912.295868338064</v>
      </c>
      <c r="F107" s="46">
        <f t="shared" si="66"/>
        <v>-2486.7486167893039</v>
      </c>
      <c r="G107" s="47">
        <f t="shared" si="67"/>
        <v>-994.69944671572159</v>
      </c>
      <c r="H107" s="47">
        <f t="shared" si="68"/>
        <v>-3481.4480635050259</v>
      </c>
      <c r="I107" s="46">
        <f t="shared" si="69"/>
        <v>-5595.1843877759338</v>
      </c>
      <c r="J107" s="47">
        <f t="shared" si="71"/>
        <v>-11600</v>
      </c>
      <c r="K107" s="47">
        <f t="shared" si="72"/>
        <v>-7668.3675547144094</v>
      </c>
      <c r="L107" s="47">
        <f t="shared" si="73"/>
        <v>-3836.0959919235402</v>
      </c>
      <c r="M107" s="47">
        <f t="shared" si="74"/>
        <v>33425.353809571781</v>
      </c>
      <c r="N107" s="47">
        <f t="shared" si="75"/>
        <v>22518.119361628538</v>
      </c>
      <c r="O107" s="34"/>
      <c r="P107" s="35"/>
      <c r="Q107" s="35"/>
      <c r="R107" s="33"/>
      <c r="S107" s="43"/>
      <c r="T107" s="19"/>
      <c r="U107" s="27">
        <f t="shared" si="76"/>
        <v>33425.353809571781</v>
      </c>
      <c r="V107" s="28">
        <f t="shared" si="77"/>
        <v>22518.119361628538</v>
      </c>
      <c r="W107" s="43"/>
      <c r="X107" s="19"/>
      <c r="Y107" s="42">
        <f t="shared" si="55"/>
        <v>0</v>
      </c>
      <c r="Z107" s="42">
        <f t="shared" si="56"/>
        <v>0</v>
      </c>
      <c r="AA107" s="96" t="e">
        <f t="shared" si="57"/>
        <v>#DIV/0!</v>
      </c>
      <c r="AB107" s="96" t="e">
        <f t="shared" si="58"/>
        <v>#DIV/0!</v>
      </c>
    </row>
    <row r="108" spans="1:28" hidden="1" outlineLevel="1" x14ac:dyDescent="0.25">
      <c r="A108" s="18"/>
      <c r="B108" s="38">
        <f t="shared" si="78"/>
        <v>13</v>
      </c>
      <c r="C108" s="54">
        <f t="shared" si="70"/>
        <v>116.73688760501419</v>
      </c>
      <c r="D108" s="33">
        <f>C108*VLOOKUP($A$96,Ταρίφες!$A$6:$G$23,$K$6,FALSE)*(1+$F$3)^(B108-1)</f>
        <v>53115.283860281459</v>
      </c>
      <c r="E108" s="33">
        <f>C108*VLOOKUP($A$96,Ταρίφες!$A$6:$G$23,$K$7,FALSE)*(1+$F$3)^(B108-1)</f>
        <v>38523.172909654684</v>
      </c>
      <c r="F108" s="46">
        <f t="shared" si="66"/>
        <v>-2536.4835891250905</v>
      </c>
      <c r="G108" s="47">
        <f t="shared" si="67"/>
        <v>-1014.5934356500362</v>
      </c>
      <c r="H108" s="47">
        <f t="shared" si="68"/>
        <v>-3551.0770247751266</v>
      </c>
      <c r="I108" s="46">
        <f t="shared" si="69"/>
        <v>-5707.0880755314538</v>
      </c>
      <c r="J108" s="47">
        <f t="shared" si="71"/>
        <v>-11600</v>
      </c>
      <c r="K108" s="47">
        <f t="shared" si="72"/>
        <v>-7463.570851151936</v>
      </c>
      <c r="L108" s="47">
        <f t="shared" si="73"/>
        <v>-3669.6220039889745</v>
      </c>
      <c r="M108" s="47">
        <f t="shared" si="74"/>
        <v>32842.47088404782</v>
      </c>
      <c r="N108" s="47">
        <f t="shared" si="75"/>
        <v>22044.308780584004</v>
      </c>
      <c r="O108" s="34"/>
      <c r="P108" s="35"/>
      <c r="Q108" s="35"/>
      <c r="R108" s="33"/>
      <c r="S108" s="43"/>
      <c r="T108" s="19"/>
      <c r="U108" s="27">
        <f t="shared" si="76"/>
        <v>32842.47088404782</v>
      </c>
      <c r="V108" s="28">
        <f t="shared" si="77"/>
        <v>22044.308780584004</v>
      </c>
      <c r="W108" s="43"/>
      <c r="X108" s="19"/>
      <c r="Y108" s="42">
        <f t="shared" si="55"/>
        <v>0</v>
      </c>
      <c r="Z108" s="42">
        <f t="shared" si="56"/>
        <v>0</v>
      </c>
      <c r="AA108" s="96" t="e">
        <f t="shared" si="57"/>
        <v>#DIV/0!</v>
      </c>
      <c r="AB108" s="96" t="e">
        <f t="shared" si="58"/>
        <v>#DIV/0!</v>
      </c>
    </row>
    <row r="109" spans="1:28" hidden="1" outlineLevel="1" x14ac:dyDescent="0.25">
      <c r="A109" s="18"/>
      <c r="B109" s="38">
        <f t="shared" si="78"/>
        <v>14</v>
      </c>
      <c r="C109" s="54">
        <f t="shared" si="70"/>
        <v>115.56951872896404</v>
      </c>
      <c r="D109" s="33">
        <f>C109*VLOOKUP($A$96,Ταρίφες!$A$6:$G$23,$K$6,FALSE)*(1+$F$3)^(B109-1)</f>
        <v>52584.131021678637</v>
      </c>
      <c r="E109" s="33">
        <f>C109*VLOOKUP($A$96,Ταρίφες!$A$6:$G$23,$K$7,FALSE)*(1+$F$3)^(B109-1)</f>
        <v>38137.941180558133</v>
      </c>
      <c r="F109" s="46">
        <f t="shared" si="66"/>
        <v>-2587.213260907592</v>
      </c>
      <c r="G109" s="47">
        <f t="shared" si="67"/>
        <v>-1034.8853043630368</v>
      </c>
      <c r="H109" s="47">
        <f t="shared" si="68"/>
        <v>-3622.098565270629</v>
      </c>
      <c r="I109" s="46">
        <f t="shared" si="69"/>
        <v>-5821.2298370420822</v>
      </c>
      <c r="J109" s="47">
        <f t="shared" si="71"/>
        <v>-11600</v>
      </c>
      <c r="K109" s="47">
        <f t="shared" si="72"/>
        <v>-7258.8630540647782</v>
      </c>
      <c r="L109" s="47">
        <f t="shared" si="73"/>
        <v>-3502.853695373447</v>
      </c>
      <c r="M109" s="47">
        <f t="shared" si="74"/>
        <v>32259.841000030523</v>
      </c>
      <c r="N109" s="47">
        <f t="shared" si="75"/>
        <v>21569.660517601347</v>
      </c>
      <c r="O109" s="34"/>
      <c r="P109" s="35"/>
      <c r="Q109" s="35"/>
      <c r="R109" s="33"/>
      <c r="S109" s="43"/>
      <c r="T109" s="19"/>
      <c r="U109" s="27">
        <f t="shared" si="76"/>
        <v>32259.841000030523</v>
      </c>
      <c r="V109" s="28">
        <f t="shared" si="77"/>
        <v>21569.660517601347</v>
      </c>
      <c r="W109" s="43"/>
      <c r="X109" s="19"/>
      <c r="Y109" s="42">
        <f t="shared" si="55"/>
        <v>0</v>
      </c>
      <c r="Z109" s="42">
        <f t="shared" si="56"/>
        <v>0</v>
      </c>
      <c r="AA109" s="96" t="e">
        <f t="shared" si="57"/>
        <v>#DIV/0!</v>
      </c>
      <c r="AB109" s="96" t="e">
        <f t="shared" si="58"/>
        <v>#DIV/0!</v>
      </c>
    </row>
    <row r="110" spans="1:28" hidden="1" outlineLevel="1" x14ac:dyDescent="0.25">
      <c r="A110" s="18"/>
      <c r="B110" s="38">
        <f t="shared" si="78"/>
        <v>15</v>
      </c>
      <c r="C110" s="54">
        <f t="shared" si="70"/>
        <v>114.4138235416744</v>
      </c>
      <c r="D110" s="33">
        <f>C110*VLOOKUP($A$96,Ταρίφες!$A$6:$G$23,$K$6,FALSE)*(1+$F$3)^(B110-1)</f>
        <v>52058.289711461854</v>
      </c>
      <c r="E110" s="33">
        <f>C110*VLOOKUP($A$96,Ταρίφες!$A$6:$G$23,$K$7,FALSE)*(1+$F$3)^(B110-1)</f>
        <v>37756.561768752552</v>
      </c>
      <c r="F110" s="46">
        <f t="shared" si="66"/>
        <v>-2638.9575261257442</v>
      </c>
      <c r="G110" s="47">
        <f t="shared" si="67"/>
        <v>-1055.5830104502977</v>
      </c>
      <c r="H110" s="47">
        <f t="shared" si="68"/>
        <v>-3694.5405365760421</v>
      </c>
      <c r="I110" s="46">
        <f t="shared" si="69"/>
        <v>-5937.6544337829246</v>
      </c>
      <c r="J110" s="47">
        <f t="shared" si="71"/>
        <v>-11600</v>
      </c>
      <c r="K110" s="47">
        <f t="shared" si="72"/>
        <v>-7054.2040931769798</v>
      </c>
      <c r="L110" s="47">
        <f t="shared" si="73"/>
        <v>-3335.7548280725614</v>
      </c>
      <c r="M110" s="47">
        <f t="shared" si="74"/>
        <v>31677.350111349864</v>
      </c>
      <c r="N110" s="47">
        <f t="shared" si="75"/>
        <v>21094.071433744983</v>
      </c>
      <c r="O110" s="34"/>
      <c r="P110" s="35"/>
      <c r="Q110" s="35"/>
      <c r="R110" s="33"/>
      <c r="S110" s="43"/>
      <c r="T110" s="19"/>
      <c r="U110" s="27">
        <f t="shared" si="76"/>
        <v>31677.350111349864</v>
      </c>
      <c r="V110" s="28">
        <f t="shared" si="77"/>
        <v>21094.071433744983</v>
      </c>
      <c r="W110" s="43"/>
      <c r="X110" s="19"/>
      <c r="Y110" s="42">
        <f t="shared" si="55"/>
        <v>0</v>
      </c>
      <c r="Z110" s="42">
        <f t="shared" si="56"/>
        <v>0</v>
      </c>
      <c r="AA110" s="96" t="e">
        <f t="shared" si="57"/>
        <v>#DIV/0!</v>
      </c>
      <c r="AB110" s="96" t="e">
        <f t="shared" si="58"/>
        <v>#DIV/0!</v>
      </c>
    </row>
    <row r="111" spans="1:28" hidden="1" outlineLevel="1" x14ac:dyDescent="0.25">
      <c r="A111" s="18"/>
      <c r="B111" s="38">
        <f t="shared" si="78"/>
        <v>16</v>
      </c>
      <c r="C111" s="54">
        <f t="shared" si="70"/>
        <v>113.26968530625766</v>
      </c>
      <c r="D111" s="33">
        <f>C111*VLOOKUP($A$96,Ταρίφες!$A$6:$G$23,$K$6,FALSE)*(1+$F$3)^(B111-1)</f>
        <v>51537.706814347235</v>
      </c>
      <c r="E111" s="33">
        <f>C111*VLOOKUP($A$96,Ταρίφες!$A$6:$G$23,$K$7,FALSE)*(1+$F$3)^(B111-1)</f>
        <v>37378.996151065025</v>
      </c>
      <c r="F111" s="46">
        <f t="shared" si="66"/>
        <v>-2691.7366766482583</v>
      </c>
      <c r="G111" s="47">
        <f t="shared" si="67"/>
        <v>-1076.6946706593035</v>
      </c>
      <c r="H111" s="47">
        <f t="shared" si="68"/>
        <v>-3768.4313473075617</v>
      </c>
      <c r="I111" s="46">
        <f t="shared" si="69"/>
        <v>-6056.4075224585813</v>
      </c>
      <c r="J111" s="47">
        <f t="shared" si="71"/>
        <v>-11600</v>
      </c>
      <c r="K111" s="47">
        <f t="shared" si="72"/>
        <v>-6849.5535152911189</v>
      </c>
      <c r="L111" s="47">
        <f t="shared" si="73"/>
        <v>-3168.2887428377439</v>
      </c>
      <c r="M111" s="47">
        <f t="shared" si="74"/>
        <v>31094.883081982414</v>
      </c>
      <c r="N111" s="47">
        <f t="shared" si="75"/>
        <v>20617.437191153578</v>
      </c>
      <c r="O111" s="34"/>
      <c r="P111" s="35"/>
      <c r="Q111" s="35"/>
      <c r="R111" s="33"/>
      <c r="S111" s="43"/>
      <c r="T111" s="19"/>
      <c r="U111" s="27">
        <f t="shared" si="76"/>
        <v>31094.883081982414</v>
      </c>
      <c r="V111" s="28">
        <f t="shared" si="77"/>
        <v>20617.437191153578</v>
      </c>
      <c r="W111" s="43"/>
      <c r="X111" s="19"/>
      <c r="Y111" s="42">
        <f t="shared" si="55"/>
        <v>0</v>
      </c>
      <c r="Z111" s="42">
        <f t="shared" si="56"/>
        <v>0</v>
      </c>
      <c r="AA111" s="96" t="e">
        <f t="shared" si="57"/>
        <v>#DIV/0!</v>
      </c>
      <c r="AB111" s="96" t="e">
        <f t="shared" si="58"/>
        <v>#DIV/0!</v>
      </c>
    </row>
    <row r="112" spans="1:28" hidden="1" outlineLevel="1" x14ac:dyDescent="0.25">
      <c r="A112" s="18"/>
      <c r="B112" s="38">
        <f t="shared" si="78"/>
        <v>17</v>
      </c>
      <c r="C112" s="54">
        <f t="shared" si="70"/>
        <v>112.13698845319507</v>
      </c>
      <c r="D112" s="33">
        <f>C112*VLOOKUP($A$96,Ταρίφες!$A$6:$G$23,$K$6,FALSE)*(1+$F$3)^(B112-1)</f>
        <v>51022.329746203759</v>
      </c>
      <c r="E112" s="33">
        <f>C112*VLOOKUP($A$96,Ταρίφες!$A$6:$G$23,$K$7,FALSE)*(1+$F$3)^(B112-1)</f>
        <v>37005.206189554374</v>
      </c>
      <c r="F112" s="46">
        <f t="shared" si="66"/>
        <v>-2745.5714101812241</v>
      </c>
      <c r="G112" s="47">
        <f t="shared" si="67"/>
        <v>-1098.2285640724897</v>
      </c>
      <c r="H112" s="47">
        <f t="shared" si="68"/>
        <v>-3843.7999742537136</v>
      </c>
      <c r="I112" s="46">
        <f t="shared" si="69"/>
        <v>-6177.5356729077539</v>
      </c>
      <c r="J112" s="47">
        <f t="shared" si="71"/>
        <v>-11600</v>
      </c>
      <c r="K112" s="47">
        <f t="shared" si="72"/>
        <v>-6644.8704724450299</v>
      </c>
      <c r="L112" s="47">
        <f t="shared" si="73"/>
        <v>-3000.4183477161901</v>
      </c>
      <c r="M112" s="47">
        <f t="shared" si="74"/>
        <v>30512.323652343548</v>
      </c>
      <c r="N112" s="47">
        <f t="shared" si="75"/>
        <v>20139.652220423002</v>
      </c>
      <c r="O112" s="34"/>
      <c r="P112" s="35"/>
      <c r="Q112" s="35"/>
      <c r="R112" s="33"/>
      <c r="S112" s="43"/>
      <c r="T112" s="19"/>
      <c r="U112" s="27">
        <f t="shared" si="76"/>
        <v>30512.323652343548</v>
      </c>
      <c r="V112" s="28">
        <f t="shared" si="77"/>
        <v>20139.652220423002</v>
      </c>
      <c r="W112" s="43"/>
      <c r="X112" s="19"/>
      <c r="Y112" s="42">
        <f t="shared" si="55"/>
        <v>0</v>
      </c>
      <c r="Z112" s="42">
        <f t="shared" si="56"/>
        <v>0</v>
      </c>
      <c r="AA112" s="96" t="e">
        <f t="shared" si="57"/>
        <v>#DIV/0!</v>
      </c>
      <c r="AB112" s="96" t="e">
        <f t="shared" si="58"/>
        <v>#DIV/0!</v>
      </c>
    </row>
    <row r="113" spans="1:28" hidden="1" outlineLevel="1" x14ac:dyDescent="0.25">
      <c r="A113" s="18"/>
      <c r="B113" s="38">
        <f t="shared" si="78"/>
        <v>18</v>
      </c>
      <c r="C113" s="54">
        <f t="shared" si="70"/>
        <v>111.01561856866311</v>
      </c>
      <c r="D113" s="33">
        <f>C113*VLOOKUP($A$96,Ταρίφες!$A$6:$G$23,$K$6,FALSE)*(1+$F$3)^(B113-1)</f>
        <v>50512.106448741717</v>
      </c>
      <c r="E113" s="33">
        <f>C113*VLOOKUP($A$96,Ταρίφες!$A$6:$G$23,$K$7,FALSE)*(1+$F$3)^(B113-1)</f>
        <v>36635.154127658825</v>
      </c>
      <c r="F113" s="46">
        <f t="shared" si="66"/>
        <v>-2800.4828383848489</v>
      </c>
      <c r="G113" s="47">
        <f t="shared" si="67"/>
        <v>-1120.1931353539396</v>
      </c>
      <c r="H113" s="47">
        <f t="shared" si="68"/>
        <v>-3920.6759737387883</v>
      </c>
      <c r="I113" s="46">
        <f t="shared" si="69"/>
        <v>-6301.0863863659097</v>
      </c>
      <c r="J113" s="47">
        <f t="shared" si="71"/>
        <v>-11600</v>
      </c>
      <c r="K113" s="47">
        <f t="shared" si="72"/>
        <v>-6440.1137098735408</v>
      </c>
      <c r="L113" s="47">
        <f t="shared" si="73"/>
        <v>-2832.1061063919883</v>
      </c>
      <c r="M113" s="47">
        <f t="shared" si="74"/>
        <v>29929.55440502469</v>
      </c>
      <c r="N113" s="47">
        <f t="shared" si="75"/>
        <v>19660.609687423352</v>
      </c>
      <c r="O113" s="34"/>
      <c r="P113" s="35"/>
      <c r="Q113" s="35"/>
      <c r="R113" s="33"/>
      <c r="S113" s="43"/>
      <c r="T113" s="19"/>
      <c r="U113" s="27">
        <f t="shared" si="76"/>
        <v>29929.55440502469</v>
      </c>
      <c r="V113" s="28">
        <f t="shared" si="77"/>
        <v>19660.609687423352</v>
      </c>
      <c r="W113" s="43"/>
      <c r="X113" s="19"/>
      <c r="Y113" s="42">
        <f t="shared" si="55"/>
        <v>0</v>
      </c>
      <c r="Z113" s="42">
        <f t="shared" si="56"/>
        <v>0</v>
      </c>
      <c r="AA113" s="96" t="e">
        <f t="shared" si="57"/>
        <v>#DIV/0!</v>
      </c>
      <c r="AB113" s="96" t="e">
        <f t="shared" si="58"/>
        <v>#DIV/0!</v>
      </c>
    </row>
    <row r="114" spans="1:28" hidden="1" outlineLevel="1" x14ac:dyDescent="0.25">
      <c r="A114" s="18"/>
      <c r="B114" s="38">
        <f t="shared" si="78"/>
        <v>19</v>
      </c>
      <c r="C114" s="54">
        <f t="shared" si="70"/>
        <v>109.90546238297648</v>
      </c>
      <c r="D114" s="33">
        <f>C114*VLOOKUP($A$96,Ταρίφες!$A$6:$G$23,$K$6,FALSE)*(1+$F$3)^(B114-1)</f>
        <v>50006.985384254302</v>
      </c>
      <c r="E114" s="33">
        <f>C114*VLOOKUP($A$96,Ταρίφες!$A$6:$G$23,$K$7,FALSE)*(1+$F$3)^(B114-1)</f>
        <v>36268.80258638224</v>
      </c>
      <c r="F114" s="46">
        <f t="shared" si="66"/>
        <v>-2856.4924951525454</v>
      </c>
      <c r="G114" s="47">
        <f t="shared" si="67"/>
        <v>-1142.5969980610182</v>
      </c>
      <c r="H114" s="47">
        <f t="shared" si="68"/>
        <v>-3999.0894932135634</v>
      </c>
      <c r="I114" s="46">
        <f t="shared" si="69"/>
        <v>-6427.1081140932274</v>
      </c>
      <c r="J114" s="47">
        <f t="shared" si="71"/>
        <v>-11600</v>
      </c>
      <c r="K114" s="47">
        <f t="shared" si="72"/>
        <v>-6235.2415537708257</v>
      </c>
      <c r="L114" s="47">
        <f t="shared" si="73"/>
        <v>-2663.3140263240898</v>
      </c>
      <c r="M114" s="47">
        <f t="shared" si="74"/>
        <v>29346.45672996312</v>
      </c>
      <c r="N114" s="47">
        <f t="shared" si="75"/>
        <v>19180.201459537795</v>
      </c>
      <c r="O114" s="34"/>
      <c r="P114" s="35"/>
      <c r="Q114" s="35"/>
      <c r="R114" s="33"/>
      <c r="S114" s="43"/>
      <c r="T114" s="19"/>
      <c r="U114" s="27">
        <f t="shared" si="76"/>
        <v>29346.45672996312</v>
      </c>
      <c r="V114" s="28">
        <f t="shared" si="77"/>
        <v>19180.201459537795</v>
      </c>
      <c r="W114" s="43"/>
      <c r="X114" s="19"/>
      <c r="Y114" s="42">
        <f t="shared" si="55"/>
        <v>0</v>
      </c>
      <c r="Z114" s="42">
        <f t="shared" si="56"/>
        <v>0</v>
      </c>
      <c r="AA114" s="96" t="e">
        <f t="shared" si="57"/>
        <v>#DIV/0!</v>
      </c>
      <c r="AB114" s="96" t="e">
        <f t="shared" si="58"/>
        <v>#DIV/0!</v>
      </c>
    </row>
    <row r="115" spans="1:28" hidden="1" outlineLevel="1" x14ac:dyDescent="0.25">
      <c r="A115" s="18"/>
      <c r="B115" s="38">
        <f>B114+1</f>
        <v>20</v>
      </c>
      <c r="C115" s="54">
        <f>C114*(1-$F$2)</f>
        <v>108.80640775914671</v>
      </c>
      <c r="D115" s="33">
        <f>C115*VLOOKUP($A$96,Ταρίφες!$A$6:$G$23,$K$6,FALSE)*(1+$F$3)^(B115-1)</f>
        <v>49506.915530411752</v>
      </c>
      <c r="E115" s="33">
        <f>C115*VLOOKUP($A$96,Ταρίφες!$A$6:$G$23,$K$7,FALSE)*(1+$F$3)^(B115-1)</f>
        <v>35906.114560518414</v>
      </c>
      <c r="F115" s="46">
        <f t="shared" si="66"/>
        <v>-2913.6223450555963</v>
      </c>
      <c r="G115" s="47">
        <f t="shared" si="67"/>
        <v>-1165.4489380222385</v>
      </c>
      <c r="H115" s="47">
        <f>-$K$4*(1+$F$4)^(B115-$B$12)</f>
        <v>-4079.0712830778348</v>
      </c>
      <c r="I115" s="46">
        <f>-(4500*(1+$F$4)^(B115-$B$12))</f>
        <v>-6555.6502763750914</v>
      </c>
      <c r="J115" s="47">
        <f t="shared" si="71"/>
        <v>-11600</v>
      </c>
      <c r="K115" s="47">
        <f>-(D115+SUM(F115:J115))*$F$5</f>
        <v>-6030.2118988490574</v>
      </c>
      <c r="L115" s="47">
        <f>-(E115+SUM(F115:J115))*$F$5</f>
        <v>-2494.0036466767897</v>
      </c>
      <c r="M115" s="47">
        <f>D115+SUM(F115:I115)+K115</f>
        <v>28762.910789031932</v>
      </c>
      <c r="N115" s="47">
        <f>E115+SUM(F115:I115)+L115</f>
        <v>18698.318071310863</v>
      </c>
      <c r="O115" s="34"/>
      <c r="P115" s="35"/>
      <c r="Q115" s="35"/>
      <c r="R115" s="33"/>
      <c r="S115" s="43"/>
      <c r="T115" s="19"/>
      <c r="U115" s="27">
        <f>M115</f>
        <v>28762.910789031932</v>
      </c>
      <c r="V115" s="28">
        <f>N115</f>
        <v>18698.318071310863</v>
      </c>
      <c r="W115" s="43"/>
      <c r="X115" s="19"/>
      <c r="Y115" s="42">
        <f t="shared" si="55"/>
        <v>0</v>
      </c>
      <c r="Z115" s="42">
        <f t="shared" si="56"/>
        <v>0</v>
      </c>
      <c r="AA115" s="96" t="e">
        <f t="shared" si="57"/>
        <v>#DIV/0!</v>
      </c>
      <c r="AB115" s="96" t="e">
        <f t="shared" si="58"/>
        <v>#DIV/0!</v>
      </c>
    </row>
    <row r="116" spans="1:28" s="40" customFormat="1" hidden="1" outlineLevel="1" x14ac:dyDescent="0.25">
      <c r="O116" s="17"/>
      <c r="P116" s="25"/>
      <c r="Q116" s="25"/>
      <c r="R116" s="22"/>
      <c r="S116" s="52"/>
      <c r="T116" s="44"/>
      <c r="U116" s="74">
        <f>O117</f>
        <v>-262000</v>
      </c>
      <c r="V116" s="74">
        <f>R117</f>
        <v>-189637.77160644531</v>
      </c>
      <c r="W116" s="52"/>
      <c r="X116" s="44"/>
      <c r="Y116" s="42">
        <f t="shared" si="55"/>
        <v>0</v>
      </c>
      <c r="Z116" s="42">
        <f t="shared" si="56"/>
        <v>0</v>
      </c>
      <c r="AA116" s="96" t="e">
        <f t="shared" si="57"/>
        <v>#DIV/0!</v>
      </c>
      <c r="AB116" s="96" t="e">
        <f t="shared" si="58"/>
        <v>#DIV/0!</v>
      </c>
    </row>
    <row r="117" spans="1:28" collapsed="1" x14ac:dyDescent="0.25">
      <c r="A117" s="32" t="str">
        <f>Ταρίφες!A15</f>
        <v>Β Τριμ. 2011</v>
      </c>
      <c r="B117" s="38">
        <f>1</f>
        <v>1</v>
      </c>
      <c r="C117" s="54">
        <f>$F$8*$K$2/1000</f>
        <v>131.69999999999999</v>
      </c>
      <c r="D117" s="33">
        <f>C117*VLOOKUP($A$117,Ταρίφες!$A$6:$G$23,$K$6,FALSE)*(1+$F$3)^(B117-1)</f>
        <v>57947.999999999993</v>
      </c>
      <c r="E117" s="33">
        <f>C117*VLOOKUP($A$117,Ταρίφες!$A$6:$G$23,$K$7,FALSE)*(1+$F$3)^(B117-1)</f>
        <v>41485.5</v>
      </c>
      <c r="F117" s="46">
        <f t="shared" ref="F117:F136" si="79">-($K$5*(1+$F$4)^(B117-$B$12))</f>
        <v>-2000</v>
      </c>
      <c r="G117" s="47">
        <f t="shared" ref="G117:G136" si="80">-$K$2*10*(1+$F$4)^(B117-$B$12)</f>
        <v>-800</v>
      </c>
      <c r="H117" s="47">
        <f t="shared" ref="H117:H135" si="81">-$K$4*(1+$F$4)^(B117-$B$12)</f>
        <v>-2800</v>
      </c>
      <c r="I117" s="46">
        <f t="shared" ref="I117:I135" si="82">-(4500*(1+$F$4)^(B117-$B$12))</f>
        <v>-4500</v>
      </c>
      <c r="J117" s="47">
        <f>$O$117*4%</f>
        <v>-10480</v>
      </c>
      <c r="K117" s="47">
        <f>-(D117+SUM(F117:J117))*$F$5</f>
        <v>-9715.6799999999985</v>
      </c>
      <c r="L117" s="47">
        <f>-(E117+SUM(F117:J117))*$F$5</f>
        <v>-5435.43</v>
      </c>
      <c r="M117" s="47">
        <f>D117+SUM(F117:I117)+K117</f>
        <v>38132.319999999992</v>
      </c>
      <c r="N117" s="47">
        <f>E117+SUM(F117:I117)+L117</f>
        <v>25950.07</v>
      </c>
      <c r="O117" s="35">
        <f>-VLOOKUP(A117,'Κόστος Κατασκευής'!$A$4:$Q$17,$K$8,FALSE)</f>
        <v>-262000</v>
      </c>
      <c r="P117" s="36">
        <f>$K$3</f>
        <v>96000</v>
      </c>
      <c r="Q117" s="36">
        <f>Q96*15/16</f>
        <v>-23637.771606445316</v>
      </c>
      <c r="R117" s="37">
        <f>SUM(O117:Q117)</f>
        <v>-189637.77160644531</v>
      </c>
      <c r="S117" s="42">
        <f>IRR(U116:U136)</f>
        <v>0.11806017424907256</v>
      </c>
      <c r="T117" s="42">
        <f>IRR(V116:V136)</f>
        <v>0.10492099111387243</v>
      </c>
      <c r="U117" s="27">
        <f>M117</f>
        <v>38132.319999999992</v>
      </c>
      <c r="V117" s="28">
        <f>N117</f>
        <v>25950.07</v>
      </c>
      <c r="W117" s="42">
        <f>'IRR ΔΣ Ισχύον'!S117</f>
        <v>0.16300779455836678</v>
      </c>
      <c r="X117" s="42">
        <f>'IRR ΔΣ Ισχύον'!T117</f>
        <v>0.15227099716133141</v>
      </c>
      <c r="Y117" s="42">
        <f t="shared" si="55"/>
        <v>-4.4947620309294223E-2</v>
      </c>
      <c r="Z117" s="42">
        <f t="shared" si="56"/>
        <v>-4.7350006047458981E-2</v>
      </c>
      <c r="AA117" s="96">
        <f t="shared" si="57"/>
        <v>0.36641221374045801</v>
      </c>
      <c r="AB117" s="96">
        <f t="shared" si="58"/>
        <v>0.27619171142578125</v>
      </c>
    </row>
    <row r="118" spans="1:28" hidden="1" outlineLevel="1" x14ac:dyDescent="0.25">
      <c r="A118" s="18"/>
      <c r="B118" s="38">
        <f>B117+1</f>
        <v>2</v>
      </c>
      <c r="C118" s="54">
        <f t="shared" ref="C118:C135" si="83">C117*(1-$F$2)</f>
        <v>130.38299999999998</v>
      </c>
      <c r="D118" s="33">
        <f>C118*VLOOKUP($A$117,Ταρίφες!$A$6:$G$23,$K$6,FALSE)*(1+$F$3)^(B118-1)</f>
        <v>57368.51999999999</v>
      </c>
      <c r="E118" s="33">
        <f>C118*VLOOKUP($A$117,Ταρίφες!$A$6:$G$23,$K$7,FALSE)*(1+$F$3)^(B118-1)</f>
        <v>41070.644999999997</v>
      </c>
      <c r="F118" s="46">
        <f t="shared" si="79"/>
        <v>-2040</v>
      </c>
      <c r="G118" s="47">
        <f t="shared" si="80"/>
        <v>-816</v>
      </c>
      <c r="H118" s="47">
        <f t="shared" si="81"/>
        <v>-2856</v>
      </c>
      <c r="I118" s="46">
        <f t="shared" si="82"/>
        <v>-4590</v>
      </c>
      <c r="J118" s="47">
        <f t="shared" ref="J118:J136" si="84">$O$117*4%</f>
        <v>-10480</v>
      </c>
      <c r="K118" s="47">
        <f t="shared" ref="K118:K135" si="85">-(D118+SUM(F118:J118))*$F$5</f>
        <v>-9512.4951999999976</v>
      </c>
      <c r="L118" s="47">
        <f t="shared" ref="L118:L135" si="86">-(E118+SUM(F118:J118))*$F$5</f>
        <v>-5275.0476999999992</v>
      </c>
      <c r="M118" s="47">
        <f t="shared" ref="M118:M135" si="87">D118+SUM(F118:I118)+K118</f>
        <v>37554.024799999992</v>
      </c>
      <c r="N118" s="47">
        <f t="shared" ref="N118:N135" si="88">E118+SUM(F118:I118)+L118</f>
        <v>25493.597299999998</v>
      </c>
      <c r="O118" s="34"/>
      <c r="P118" s="35"/>
      <c r="Q118" s="35"/>
      <c r="R118" s="33"/>
      <c r="S118" s="43"/>
      <c r="T118" s="19"/>
      <c r="U118" s="27">
        <f t="shared" ref="U118:U135" si="89">M118</f>
        <v>37554.024799999992</v>
      </c>
      <c r="V118" s="28">
        <f t="shared" ref="V118:V135" si="90">N118</f>
        <v>25493.597299999998</v>
      </c>
      <c r="W118" s="43"/>
      <c r="X118" s="19"/>
      <c r="Y118" s="42">
        <f t="shared" si="55"/>
        <v>0</v>
      </c>
      <c r="Z118" s="42">
        <f t="shared" si="56"/>
        <v>0</v>
      </c>
      <c r="AA118" s="96" t="e">
        <f t="shared" si="57"/>
        <v>#DIV/0!</v>
      </c>
      <c r="AB118" s="96" t="e">
        <f t="shared" si="58"/>
        <v>#DIV/0!</v>
      </c>
    </row>
    <row r="119" spans="1:28" hidden="1" outlineLevel="1" x14ac:dyDescent="0.25">
      <c r="A119" s="18"/>
      <c r="B119" s="38">
        <f t="shared" ref="B119:B135" si="91">B118+1</f>
        <v>3</v>
      </c>
      <c r="C119" s="54">
        <f t="shared" si="83"/>
        <v>129.07916999999998</v>
      </c>
      <c r="D119" s="33">
        <f>C119*VLOOKUP($A$117,Ταρίφες!$A$6:$G$23,$K$6,FALSE)*(1+$F$3)^(B119-1)</f>
        <v>56794.83479999999</v>
      </c>
      <c r="E119" s="33">
        <f>C119*VLOOKUP($A$117,Ταρίφες!$A$6:$G$23,$K$7,FALSE)*(1+$F$3)^(B119-1)</f>
        <v>40659.938549999992</v>
      </c>
      <c r="F119" s="46">
        <f t="shared" si="79"/>
        <v>-2080.8000000000002</v>
      </c>
      <c r="G119" s="47">
        <f t="shared" si="80"/>
        <v>-832.31999999999994</v>
      </c>
      <c r="H119" s="47">
        <f t="shared" si="81"/>
        <v>-2913.12</v>
      </c>
      <c r="I119" s="46">
        <f t="shared" si="82"/>
        <v>-4681.8</v>
      </c>
      <c r="J119" s="47">
        <f t="shared" si="84"/>
        <v>-10480</v>
      </c>
      <c r="K119" s="47">
        <f t="shared" si="85"/>
        <v>-9309.7666479999971</v>
      </c>
      <c r="L119" s="47">
        <f t="shared" si="86"/>
        <v>-5114.6936229999974</v>
      </c>
      <c r="M119" s="47">
        <f t="shared" si="87"/>
        <v>36977.028151999992</v>
      </c>
      <c r="N119" s="47">
        <f t="shared" si="88"/>
        <v>25037.204926999992</v>
      </c>
      <c r="O119" s="34"/>
      <c r="P119" s="35"/>
      <c r="Q119" s="35"/>
      <c r="R119" s="33"/>
      <c r="S119" s="43"/>
      <c r="T119" s="19"/>
      <c r="U119" s="27">
        <f t="shared" si="89"/>
        <v>36977.028151999992</v>
      </c>
      <c r="V119" s="28">
        <f t="shared" si="90"/>
        <v>25037.204926999992</v>
      </c>
      <c r="W119" s="43"/>
      <c r="X119" s="19"/>
      <c r="Y119" s="42">
        <f t="shared" si="55"/>
        <v>0</v>
      </c>
      <c r="Z119" s="42">
        <f t="shared" si="56"/>
        <v>0</v>
      </c>
      <c r="AA119" s="96" t="e">
        <f t="shared" si="57"/>
        <v>#DIV/0!</v>
      </c>
      <c r="AB119" s="96" t="e">
        <f t="shared" si="58"/>
        <v>#DIV/0!</v>
      </c>
    </row>
    <row r="120" spans="1:28" hidden="1" outlineLevel="1" x14ac:dyDescent="0.25">
      <c r="A120" s="18"/>
      <c r="B120" s="38">
        <f t="shared" si="91"/>
        <v>4</v>
      </c>
      <c r="C120" s="54">
        <f t="shared" si="83"/>
        <v>127.78837829999998</v>
      </c>
      <c r="D120" s="33">
        <f>C120*VLOOKUP($A$117,Ταρίφες!$A$6:$G$23,$K$6,FALSE)*(1+$F$3)^(B120-1)</f>
        <v>56226.886451999992</v>
      </c>
      <c r="E120" s="33">
        <f>C120*VLOOKUP($A$117,Ταρίφες!$A$6:$G$23,$K$7,FALSE)*(1+$F$3)^(B120-1)</f>
        <v>40253.339164499994</v>
      </c>
      <c r="F120" s="46">
        <f t="shared" si="79"/>
        <v>-2122.4159999999997</v>
      </c>
      <c r="G120" s="47">
        <f t="shared" si="80"/>
        <v>-848.96639999999991</v>
      </c>
      <c r="H120" s="47">
        <f t="shared" si="81"/>
        <v>-2971.3824</v>
      </c>
      <c r="I120" s="46">
        <f t="shared" si="82"/>
        <v>-4775.4359999999997</v>
      </c>
      <c r="J120" s="47">
        <f t="shared" si="84"/>
        <v>-10480</v>
      </c>
      <c r="K120" s="47">
        <f t="shared" si="85"/>
        <v>-9107.4582695199988</v>
      </c>
      <c r="L120" s="47">
        <f t="shared" si="86"/>
        <v>-4954.3359747699988</v>
      </c>
      <c r="M120" s="47">
        <f t="shared" si="87"/>
        <v>36401.227382479992</v>
      </c>
      <c r="N120" s="47">
        <f t="shared" si="88"/>
        <v>24580.802389729997</v>
      </c>
      <c r="O120" s="34"/>
      <c r="P120" s="35"/>
      <c r="Q120" s="35"/>
      <c r="R120" s="33"/>
      <c r="S120" s="43"/>
      <c r="T120" s="19"/>
      <c r="U120" s="27">
        <f t="shared" si="89"/>
        <v>36401.227382479992</v>
      </c>
      <c r="V120" s="28">
        <f t="shared" si="90"/>
        <v>24580.802389729997</v>
      </c>
      <c r="W120" s="43"/>
      <c r="X120" s="19"/>
      <c r="Y120" s="42">
        <f t="shared" si="55"/>
        <v>0</v>
      </c>
      <c r="Z120" s="42">
        <f t="shared" si="56"/>
        <v>0</v>
      </c>
      <c r="AA120" s="96" t="e">
        <f t="shared" si="57"/>
        <v>#DIV/0!</v>
      </c>
      <c r="AB120" s="96" t="e">
        <f t="shared" si="58"/>
        <v>#DIV/0!</v>
      </c>
    </row>
    <row r="121" spans="1:28" hidden="1" outlineLevel="1" x14ac:dyDescent="0.25">
      <c r="A121" s="18"/>
      <c r="B121" s="38">
        <f t="shared" si="91"/>
        <v>5</v>
      </c>
      <c r="C121" s="54">
        <f t="shared" si="83"/>
        <v>126.51049451699997</v>
      </c>
      <c r="D121" s="33">
        <f>C121*VLOOKUP($A$117,Ταρίφες!$A$6:$G$23,$K$6,FALSE)*(1+$F$3)^(B121-1)</f>
        <v>55664.617587479988</v>
      </c>
      <c r="E121" s="33">
        <f>C121*VLOOKUP($A$117,Ταρίφες!$A$6:$G$23,$K$7,FALSE)*(1+$F$3)^(B121-1)</f>
        <v>39850.80577285499</v>
      </c>
      <c r="F121" s="46">
        <f t="shared" si="79"/>
        <v>-2164.8643200000001</v>
      </c>
      <c r="G121" s="47">
        <f t="shared" si="80"/>
        <v>-865.94572800000003</v>
      </c>
      <c r="H121" s="47">
        <f t="shared" si="81"/>
        <v>-3030.8100479999998</v>
      </c>
      <c r="I121" s="46">
        <f t="shared" si="82"/>
        <v>-4870.9447199999995</v>
      </c>
      <c r="J121" s="47">
        <f t="shared" si="84"/>
        <v>-10480</v>
      </c>
      <c r="K121" s="47">
        <f t="shared" si="85"/>
        <v>-8905.5337205847973</v>
      </c>
      <c r="L121" s="47">
        <f t="shared" si="86"/>
        <v>-4793.9426487822984</v>
      </c>
      <c r="M121" s="47">
        <f t="shared" si="87"/>
        <v>35826.519050895193</v>
      </c>
      <c r="N121" s="47">
        <f t="shared" si="88"/>
        <v>24124.298308072692</v>
      </c>
      <c r="O121" s="34"/>
      <c r="P121" s="35"/>
      <c r="Q121" s="35"/>
      <c r="R121" s="33"/>
      <c r="S121" s="43"/>
      <c r="T121" s="19"/>
      <c r="U121" s="27">
        <f t="shared" si="89"/>
        <v>35826.519050895193</v>
      </c>
      <c r="V121" s="28">
        <f t="shared" si="90"/>
        <v>24124.298308072692</v>
      </c>
      <c r="W121" s="43"/>
      <c r="X121" s="19"/>
      <c r="Y121" s="42">
        <f t="shared" si="55"/>
        <v>0</v>
      </c>
      <c r="Z121" s="42">
        <f t="shared" si="56"/>
        <v>0</v>
      </c>
      <c r="AA121" s="96" t="e">
        <f t="shared" si="57"/>
        <v>#DIV/0!</v>
      </c>
      <c r="AB121" s="96" t="e">
        <f t="shared" si="58"/>
        <v>#DIV/0!</v>
      </c>
    </row>
    <row r="122" spans="1:28" hidden="1" outlineLevel="1" x14ac:dyDescent="0.25">
      <c r="A122" s="18"/>
      <c r="B122" s="38">
        <f t="shared" si="91"/>
        <v>6</v>
      </c>
      <c r="C122" s="54">
        <f t="shared" si="83"/>
        <v>125.24538957182997</v>
      </c>
      <c r="D122" s="33">
        <f>C122*VLOOKUP($A$117,Ταρίφες!$A$6:$G$23,$K$6,FALSE)*(1+$F$3)^(B122-1)</f>
        <v>55107.971411605191</v>
      </c>
      <c r="E122" s="33">
        <f>C122*VLOOKUP($A$117,Ταρίφες!$A$6:$G$23,$K$7,FALSE)*(1+$F$3)^(B122-1)</f>
        <v>39452.297715126442</v>
      </c>
      <c r="F122" s="46">
        <f t="shared" si="79"/>
        <v>-2208.1616064</v>
      </c>
      <c r="G122" s="47">
        <f t="shared" si="80"/>
        <v>-883.26464255999997</v>
      </c>
      <c r="H122" s="47">
        <f t="shared" si="81"/>
        <v>-3091.4262489600001</v>
      </c>
      <c r="I122" s="46">
        <f t="shared" si="82"/>
        <v>-4968.3636144000002</v>
      </c>
      <c r="J122" s="47">
        <f t="shared" si="84"/>
        <v>-10480</v>
      </c>
      <c r="K122" s="47">
        <f t="shared" si="85"/>
        <v>-8703.956377814151</v>
      </c>
      <c r="L122" s="47">
        <f t="shared" si="86"/>
        <v>-4633.4812167296759</v>
      </c>
      <c r="M122" s="47">
        <f t="shared" si="87"/>
        <v>35252.79892147104</v>
      </c>
      <c r="N122" s="47">
        <f t="shared" si="88"/>
        <v>23667.600386076767</v>
      </c>
      <c r="O122" s="34"/>
      <c r="P122" s="35"/>
      <c r="Q122" s="35"/>
      <c r="R122" s="33"/>
      <c r="S122" s="43"/>
      <c r="T122" s="19"/>
      <c r="U122" s="27">
        <f t="shared" si="89"/>
        <v>35252.79892147104</v>
      </c>
      <c r="V122" s="28">
        <f t="shared" si="90"/>
        <v>23667.600386076767</v>
      </c>
      <c r="W122" s="43"/>
      <c r="X122" s="19"/>
      <c r="Y122" s="42">
        <f t="shared" si="55"/>
        <v>0</v>
      </c>
      <c r="Z122" s="42">
        <f t="shared" si="56"/>
        <v>0</v>
      </c>
      <c r="AA122" s="96" t="e">
        <f t="shared" si="57"/>
        <v>#DIV/0!</v>
      </c>
      <c r="AB122" s="96" t="e">
        <f t="shared" si="58"/>
        <v>#DIV/0!</v>
      </c>
    </row>
    <row r="123" spans="1:28" hidden="1" outlineLevel="1" x14ac:dyDescent="0.25">
      <c r="A123" s="18"/>
      <c r="B123" s="38">
        <f t="shared" si="91"/>
        <v>7</v>
      </c>
      <c r="C123" s="54">
        <f t="shared" si="83"/>
        <v>123.99293567611167</v>
      </c>
      <c r="D123" s="33">
        <f>C123*VLOOKUP($A$117,Ταρίφες!$A$6:$G$23,$K$6,FALSE)*(1+$F$3)^(B123-1)</f>
        <v>54556.891697489133</v>
      </c>
      <c r="E123" s="33">
        <f>C123*VLOOKUP($A$117,Ταρίφες!$A$6:$G$23,$K$7,FALSE)*(1+$F$3)^(B123-1)</f>
        <v>39057.774737975175</v>
      </c>
      <c r="F123" s="46">
        <f t="shared" si="79"/>
        <v>-2252.3248385280003</v>
      </c>
      <c r="G123" s="47">
        <f t="shared" si="80"/>
        <v>-900.92993541120006</v>
      </c>
      <c r="H123" s="47">
        <f t="shared" si="81"/>
        <v>-3153.2547739392003</v>
      </c>
      <c r="I123" s="46">
        <f t="shared" si="82"/>
        <v>-5067.7308866880003</v>
      </c>
      <c r="J123" s="47">
        <f t="shared" si="84"/>
        <v>-10480</v>
      </c>
      <c r="K123" s="47">
        <f t="shared" si="85"/>
        <v>-8502.6893283599111</v>
      </c>
      <c r="L123" s="47">
        <f t="shared" si="86"/>
        <v>-4472.918918886282</v>
      </c>
      <c r="M123" s="47">
        <f t="shared" si="87"/>
        <v>34679.961934562823</v>
      </c>
      <c r="N123" s="47">
        <f t="shared" si="88"/>
        <v>23210.615384522491</v>
      </c>
      <c r="O123" s="34"/>
      <c r="P123" s="35"/>
      <c r="Q123" s="35"/>
      <c r="R123" s="33"/>
      <c r="S123" s="43"/>
      <c r="T123" s="19"/>
      <c r="U123" s="27">
        <f t="shared" si="89"/>
        <v>34679.961934562823</v>
      </c>
      <c r="V123" s="28">
        <f t="shared" si="90"/>
        <v>23210.615384522491</v>
      </c>
      <c r="W123" s="43"/>
      <c r="X123" s="19"/>
      <c r="Y123" s="42">
        <f t="shared" si="55"/>
        <v>0</v>
      </c>
      <c r="Z123" s="42">
        <f t="shared" si="56"/>
        <v>0</v>
      </c>
      <c r="AA123" s="96" t="e">
        <f t="shared" si="57"/>
        <v>#DIV/0!</v>
      </c>
      <c r="AB123" s="96" t="e">
        <f t="shared" si="58"/>
        <v>#DIV/0!</v>
      </c>
    </row>
    <row r="124" spans="1:28" hidden="1" outlineLevel="1" x14ac:dyDescent="0.25">
      <c r="A124" s="18"/>
      <c r="B124" s="38">
        <f t="shared" si="91"/>
        <v>8</v>
      </c>
      <c r="C124" s="54">
        <f t="shared" si="83"/>
        <v>122.75300631935055</v>
      </c>
      <c r="D124" s="33">
        <f>C124*VLOOKUP($A$117,Ταρίφες!$A$6:$G$23,$K$6,FALSE)*(1+$F$3)^(B124-1)</f>
        <v>54011.322780514238</v>
      </c>
      <c r="E124" s="33">
        <f>C124*VLOOKUP($A$117,Ταρίφες!$A$6:$G$23,$K$7,FALSE)*(1+$F$3)^(B124-1)</f>
        <v>38667.196990595425</v>
      </c>
      <c r="F124" s="46">
        <f t="shared" si="79"/>
        <v>-2297.3713352985596</v>
      </c>
      <c r="G124" s="47">
        <f t="shared" si="80"/>
        <v>-918.94853411942381</v>
      </c>
      <c r="H124" s="47">
        <f t="shared" si="81"/>
        <v>-3216.3198694179837</v>
      </c>
      <c r="I124" s="46">
        <f t="shared" si="82"/>
        <v>-5169.0855044217587</v>
      </c>
      <c r="J124" s="47">
        <f t="shared" si="84"/>
        <v>-10480</v>
      </c>
      <c r="K124" s="47">
        <f t="shared" si="85"/>
        <v>-8301.6953596866933</v>
      </c>
      <c r="L124" s="47">
        <f t="shared" si="86"/>
        <v>-4312.2226543078013</v>
      </c>
      <c r="M124" s="47">
        <f t="shared" si="87"/>
        <v>34107.90217756982</v>
      </c>
      <c r="N124" s="47">
        <f t="shared" si="88"/>
        <v>22753.249093029895</v>
      </c>
      <c r="O124" s="34"/>
      <c r="P124" s="35"/>
      <c r="Q124" s="35"/>
      <c r="R124" s="33"/>
      <c r="S124" s="43"/>
      <c r="T124" s="19"/>
      <c r="U124" s="27">
        <f t="shared" si="89"/>
        <v>34107.90217756982</v>
      </c>
      <c r="V124" s="28">
        <f t="shared" si="90"/>
        <v>22753.249093029895</v>
      </c>
      <c r="W124" s="43"/>
      <c r="X124" s="19"/>
      <c r="Y124" s="42">
        <f t="shared" si="55"/>
        <v>0</v>
      </c>
      <c r="Z124" s="42">
        <f t="shared" si="56"/>
        <v>0</v>
      </c>
      <c r="AA124" s="96" t="e">
        <f t="shared" si="57"/>
        <v>#DIV/0!</v>
      </c>
      <c r="AB124" s="96" t="e">
        <f t="shared" si="58"/>
        <v>#DIV/0!</v>
      </c>
    </row>
    <row r="125" spans="1:28" hidden="1" outlineLevel="1" x14ac:dyDescent="0.25">
      <c r="A125" s="18"/>
      <c r="B125" s="38">
        <f t="shared" si="91"/>
        <v>9</v>
      </c>
      <c r="C125" s="54">
        <f t="shared" si="83"/>
        <v>121.52547625615703</v>
      </c>
      <c r="D125" s="33">
        <f>C125*VLOOKUP($A$117,Ταρίφες!$A$6:$G$23,$K$6,FALSE)*(1+$F$3)^(B125-1)</f>
        <v>53471.209552709093</v>
      </c>
      <c r="E125" s="33">
        <f>C125*VLOOKUP($A$117,Ταρίφες!$A$6:$G$23,$K$7,FALSE)*(1+$F$3)^(B125-1)</f>
        <v>38280.525020689463</v>
      </c>
      <c r="F125" s="46">
        <f t="shared" si="79"/>
        <v>-2343.318762004531</v>
      </c>
      <c r="G125" s="47">
        <f t="shared" si="80"/>
        <v>-937.32750480181244</v>
      </c>
      <c r="H125" s="47">
        <f t="shared" si="81"/>
        <v>-3280.6462668063436</v>
      </c>
      <c r="I125" s="46">
        <f t="shared" si="82"/>
        <v>-5272.4672145101949</v>
      </c>
      <c r="J125" s="47">
        <f t="shared" si="84"/>
        <v>-10480</v>
      </c>
      <c r="K125" s="47">
        <f t="shared" si="85"/>
        <v>-8100.9369491924153</v>
      </c>
      <c r="L125" s="47">
        <f t="shared" si="86"/>
        <v>-4151.3589708673117</v>
      </c>
      <c r="M125" s="47">
        <f t="shared" si="87"/>
        <v>33536.512855393798</v>
      </c>
      <c r="N125" s="47">
        <f t="shared" si="88"/>
        <v>22295.406301699273</v>
      </c>
      <c r="O125" s="34"/>
      <c r="P125" s="35"/>
      <c r="Q125" s="35"/>
      <c r="R125" s="33"/>
      <c r="S125" s="43"/>
      <c r="T125" s="19"/>
      <c r="U125" s="27">
        <f t="shared" si="89"/>
        <v>33536.512855393798</v>
      </c>
      <c r="V125" s="28">
        <f t="shared" si="90"/>
        <v>22295.406301699273</v>
      </c>
      <c r="W125" s="43"/>
      <c r="X125" s="19"/>
      <c r="Y125" s="42">
        <f t="shared" si="55"/>
        <v>0</v>
      </c>
      <c r="Z125" s="42">
        <f t="shared" si="56"/>
        <v>0</v>
      </c>
      <c r="AA125" s="96" t="e">
        <f t="shared" si="57"/>
        <v>#DIV/0!</v>
      </c>
      <c r="AB125" s="96" t="e">
        <f t="shared" si="58"/>
        <v>#DIV/0!</v>
      </c>
    </row>
    <row r="126" spans="1:28" hidden="1" outlineLevel="1" x14ac:dyDescent="0.25">
      <c r="A126" s="18"/>
      <c r="B126" s="38">
        <f t="shared" si="91"/>
        <v>10</v>
      </c>
      <c r="C126" s="54">
        <f t="shared" si="83"/>
        <v>120.31022149359546</v>
      </c>
      <c r="D126" s="33">
        <f>C126*VLOOKUP($A$117,Ταρίφες!$A$6:$G$23,$K$6,FALSE)*(1+$F$3)^(B126-1)</f>
        <v>52936.497457182006</v>
      </c>
      <c r="E126" s="33">
        <f>C126*VLOOKUP($A$117,Ταρίφες!$A$6:$G$23,$K$7,FALSE)*(1+$F$3)^(B126-1)</f>
        <v>37897.719770482574</v>
      </c>
      <c r="F126" s="46">
        <f t="shared" si="79"/>
        <v>-2390.1851372446217</v>
      </c>
      <c r="G126" s="47">
        <f t="shared" si="80"/>
        <v>-956.07405489784867</v>
      </c>
      <c r="H126" s="47">
        <f t="shared" si="81"/>
        <v>-3346.2591921424705</v>
      </c>
      <c r="I126" s="46">
        <f t="shared" si="82"/>
        <v>-5377.9165588003989</v>
      </c>
      <c r="J126" s="47">
        <f t="shared" si="84"/>
        <v>-10480</v>
      </c>
      <c r="K126" s="47">
        <f t="shared" si="85"/>
        <v>-7900.3762536651329</v>
      </c>
      <c r="L126" s="47">
        <f t="shared" si="86"/>
        <v>-3990.2940551232809</v>
      </c>
      <c r="M126" s="47">
        <f t="shared" si="87"/>
        <v>32965.686260431532</v>
      </c>
      <c r="N126" s="47">
        <f t="shared" si="88"/>
        <v>21836.990772273952</v>
      </c>
      <c r="O126" s="34"/>
      <c r="P126" s="35"/>
      <c r="Q126" s="35"/>
      <c r="R126" s="33"/>
      <c r="S126" s="43"/>
      <c r="T126" s="19"/>
      <c r="U126" s="27">
        <f t="shared" si="89"/>
        <v>32965.686260431532</v>
      </c>
      <c r="V126" s="28">
        <f t="shared" si="90"/>
        <v>21836.990772273952</v>
      </c>
      <c r="W126" s="43"/>
      <c r="X126" s="19"/>
      <c r="Y126" s="42">
        <f t="shared" si="55"/>
        <v>0</v>
      </c>
      <c r="Z126" s="42">
        <f t="shared" si="56"/>
        <v>0</v>
      </c>
      <c r="AA126" s="96" t="e">
        <f t="shared" si="57"/>
        <v>#DIV/0!</v>
      </c>
      <c r="AB126" s="96" t="e">
        <f t="shared" si="58"/>
        <v>#DIV/0!</v>
      </c>
    </row>
    <row r="127" spans="1:28" hidden="1" outlineLevel="1" x14ac:dyDescent="0.25">
      <c r="A127" s="18"/>
      <c r="B127" s="38">
        <f t="shared" si="91"/>
        <v>11</v>
      </c>
      <c r="C127" s="54">
        <f t="shared" si="83"/>
        <v>119.10711927865951</v>
      </c>
      <c r="D127" s="33">
        <f>C127*VLOOKUP($A$117,Ταρίφες!$A$6:$G$23,$K$6,FALSE)*(1+$F$3)^(B127-1)</f>
        <v>52407.132482610185</v>
      </c>
      <c r="E127" s="33">
        <f>C127*VLOOKUP($A$117,Ταρίφες!$A$6:$G$23,$K$7,FALSE)*(1+$F$3)^(B127-1)</f>
        <v>37518.742572777744</v>
      </c>
      <c r="F127" s="46">
        <f t="shared" si="79"/>
        <v>-2437.9888399895144</v>
      </c>
      <c r="G127" s="47">
        <f t="shared" si="80"/>
        <v>-975.1955359958057</v>
      </c>
      <c r="H127" s="47">
        <f t="shared" si="81"/>
        <v>-3413.18437598532</v>
      </c>
      <c r="I127" s="46">
        <f t="shared" si="82"/>
        <v>-5485.4748899764072</v>
      </c>
      <c r="J127" s="47">
        <f t="shared" si="84"/>
        <v>-10480</v>
      </c>
      <c r="K127" s="47">
        <f t="shared" si="85"/>
        <v>-7699.9750985724168</v>
      </c>
      <c r="L127" s="47">
        <f t="shared" si="86"/>
        <v>-3828.9937220159818</v>
      </c>
      <c r="M127" s="47">
        <f t="shared" si="87"/>
        <v>32395.313742090722</v>
      </c>
      <c r="N127" s="47">
        <f t="shared" si="88"/>
        <v>21377.905208814718</v>
      </c>
      <c r="O127" s="34"/>
      <c r="P127" s="35"/>
      <c r="Q127" s="35"/>
      <c r="R127" s="33"/>
      <c r="S127" s="43"/>
      <c r="T127" s="19"/>
      <c r="U127" s="27">
        <f t="shared" si="89"/>
        <v>32395.313742090722</v>
      </c>
      <c r="V127" s="28">
        <f t="shared" si="90"/>
        <v>21377.905208814718</v>
      </c>
      <c r="W127" s="43"/>
      <c r="X127" s="19"/>
      <c r="Y127" s="42">
        <f t="shared" si="55"/>
        <v>0</v>
      </c>
      <c r="Z127" s="42">
        <f t="shared" si="56"/>
        <v>0</v>
      </c>
      <c r="AA127" s="96" t="e">
        <f t="shared" si="57"/>
        <v>#DIV/0!</v>
      </c>
      <c r="AB127" s="96" t="e">
        <f t="shared" si="58"/>
        <v>#DIV/0!</v>
      </c>
    </row>
    <row r="128" spans="1:28" hidden="1" outlineLevel="1" x14ac:dyDescent="0.25">
      <c r="A128" s="18"/>
      <c r="B128" s="38">
        <f t="shared" si="91"/>
        <v>12</v>
      </c>
      <c r="C128" s="54">
        <f t="shared" si="83"/>
        <v>117.91604808587292</v>
      </c>
      <c r="D128" s="33">
        <f>C128*VLOOKUP($A$117,Ταρίφες!$A$6:$G$23,$K$6,FALSE)*(1+$F$3)^(B128-1)</f>
        <v>51883.061157784083</v>
      </c>
      <c r="E128" s="33">
        <f>C128*VLOOKUP($A$117,Ταρίφες!$A$6:$G$23,$K$7,FALSE)*(1+$F$3)^(B128-1)</f>
        <v>37143.55514704997</v>
      </c>
      <c r="F128" s="46">
        <f t="shared" si="79"/>
        <v>-2486.7486167893039</v>
      </c>
      <c r="G128" s="47">
        <f t="shared" si="80"/>
        <v>-994.69944671572159</v>
      </c>
      <c r="H128" s="47">
        <f t="shared" si="81"/>
        <v>-3481.4480635050259</v>
      </c>
      <c r="I128" s="46">
        <f t="shared" si="82"/>
        <v>-5595.1843877759338</v>
      </c>
      <c r="J128" s="47">
        <f t="shared" si="84"/>
        <v>-10480</v>
      </c>
      <c r="K128" s="47">
        <f t="shared" si="85"/>
        <v>-7499.6949671795055</v>
      </c>
      <c r="L128" s="47">
        <f t="shared" si="86"/>
        <v>-3667.4234043886358</v>
      </c>
      <c r="M128" s="47">
        <f t="shared" si="87"/>
        <v>31825.285675818592</v>
      </c>
      <c r="N128" s="47">
        <f t="shared" si="88"/>
        <v>20918.051227875349</v>
      </c>
      <c r="O128" s="34"/>
      <c r="P128" s="35"/>
      <c r="Q128" s="35"/>
      <c r="R128" s="33"/>
      <c r="S128" s="43"/>
      <c r="T128" s="19"/>
      <c r="U128" s="27">
        <f t="shared" si="89"/>
        <v>31825.285675818592</v>
      </c>
      <c r="V128" s="28">
        <f t="shared" si="90"/>
        <v>20918.051227875349</v>
      </c>
      <c r="W128" s="43"/>
      <c r="X128" s="19"/>
      <c r="Y128" s="42">
        <f t="shared" si="55"/>
        <v>0</v>
      </c>
      <c r="Z128" s="42">
        <f t="shared" si="56"/>
        <v>0</v>
      </c>
      <c r="AA128" s="96" t="e">
        <f t="shared" si="57"/>
        <v>#DIV/0!</v>
      </c>
      <c r="AB128" s="96" t="e">
        <f t="shared" si="58"/>
        <v>#DIV/0!</v>
      </c>
    </row>
    <row r="129" spans="1:28" hidden="1" outlineLevel="1" x14ac:dyDescent="0.25">
      <c r="A129" s="18"/>
      <c r="B129" s="38">
        <f t="shared" si="91"/>
        <v>13</v>
      </c>
      <c r="C129" s="54">
        <f t="shared" si="83"/>
        <v>116.73688760501419</v>
      </c>
      <c r="D129" s="33">
        <f>C129*VLOOKUP($A$117,Ταρίφες!$A$6:$G$23,$K$6,FALSE)*(1+$F$3)^(B129-1)</f>
        <v>51364.230546206243</v>
      </c>
      <c r="E129" s="33">
        <f>C129*VLOOKUP($A$117,Ταρίφες!$A$6:$G$23,$K$7,FALSE)*(1+$F$3)^(B129-1)</f>
        <v>36772.119595579468</v>
      </c>
      <c r="F129" s="46">
        <f t="shared" si="79"/>
        <v>-2536.4835891250905</v>
      </c>
      <c r="G129" s="47">
        <f t="shared" si="80"/>
        <v>-1014.5934356500362</v>
      </c>
      <c r="H129" s="47">
        <f t="shared" si="81"/>
        <v>-3551.0770247751266</v>
      </c>
      <c r="I129" s="46">
        <f t="shared" si="82"/>
        <v>-5707.0880755314538</v>
      </c>
      <c r="J129" s="47">
        <f t="shared" si="84"/>
        <v>-10480</v>
      </c>
      <c r="K129" s="47">
        <f t="shared" si="85"/>
        <v>-7299.4969894923797</v>
      </c>
      <c r="L129" s="47">
        <f t="shared" si="86"/>
        <v>-3505.5481423294182</v>
      </c>
      <c r="M129" s="47">
        <f t="shared" si="87"/>
        <v>31255.491431632159</v>
      </c>
      <c r="N129" s="47">
        <f t="shared" si="88"/>
        <v>20457.329328168344</v>
      </c>
      <c r="O129" s="34"/>
      <c r="P129" s="35"/>
      <c r="Q129" s="35"/>
      <c r="R129" s="33"/>
      <c r="S129" s="43"/>
      <c r="T129" s="19"/>
      <c r="U129" s="27">
        <f t="shared" si="89"/>
        <v>31255.491431632159</v>
      </c>
      <c r="V129" s="28">
        <f t="shared" si="90"/>
        <v>20457.329328168344</v>
      </c>
      <c r="W129" s="43"/>
      <c r="X129" s="19"/>
      <c r="Y129" s="42">
        <f t="shared" si="55"/>
        <v>0</v>
      </c>
      <c r="Z129" s="42">
        <f t="shared" si="56"/>
        <v>0</v>
      </c>
      <c r="AA129" s="96" t="e">
        <f t="shared" si="57"/>
        <v>#DIV/0!</v>
      </c>
      <c r="AB129" s="96" t="e">
        <f t="shared" si="58"/>
        <v>#DIV/0!</v>
      </c>
    </row>
    <row r="130" spans="1:28" hidden="1" outlineLevel="1" x14ac:dyDescent="0.25">
      <c r="A130" s="18"/>
      <c r="B130" s="38">
        <f t="shared" si="91"/>
        <v>14</v>
      </c>
      <c r="C130" s="54">
        <f t="shared" si="83"/>
        <v>115.56951872896404</v>
      </c>
      <c r="D130" s="33">
        <f>C130*VLOOKUP($A$117,Ταρίφες!$A$6:$G$23,$K$6,FALSE)*(1+$F$3)^(B130-1)</f>
        <v>50850.588240744175</v>
      </c>
      <c r="E130" s="33">
        <f>C130*VLOOKUP($A$117,Ταρίφες!$A$6:$G$23,$K$7,FALSE)*(1+$F$3)^(B130-1)</f>
        <v>36404.398399623671</v>
      </c>
      <c r="F130" s="46">
        <f t="shared" si="79"/>
        <v>-2587.213260907592</v>
      </c>
      <c r="G130" s="47">
        <f t="shared" si="80"/>
        <v>-1034.8853043630368</v>
      </c>
      <c r="H130" s="47">
        <f t="shared" si="81"/>
        <v>-3622.098565270629</v>
      </c>
      <c r="I130" s="46">
        <f t="shared" si="82"/>
        <v>-5821.2298370420822</v>
      </c>
      <c r="J130" s="47">
        <f t="shared" si="84"/>
        <v>-10480</v>
      </c>
      <c r="K130" s="47">
        <f t="shared" si="85"/>
        <v>-7099.3419310218178</v>
      </c>
      <c r="L130" s="47">
        <f t="shared" si="86"/>
        <v>-3343.3325723304865</v>
      </c>
      <c r="M130" s="47">
        <f t="shared" si="87"/>
        <v>30685.819342139017</v>
      </c>
      <c r="N130" s="47">
        <f t="shared" si="88"/>
        <v>19995.638859709845</v>
      </c>
      <c r="O130" s="34"/>
      <c r="P130" s="35"/>
      <c r="Q130" s="35"/>
      <c r="R130" s="33"/>
      <c r="S130" s="43"/>
      <c r="T130" s="19"/>
      <c r="U130" s="27">
        <f t="shared" si="89"/>
        <v>30685.819342139017</v>
      </c>
      <c r="V130" s="28">
        <f t="shared" si="90"/>
        <v>19995.638859709845</v>
      </c>
      <c r="W130" s="43"/>
      <c r="X130" s="19"/>
      <c r="Y130" s="42">
        <f t="shared" si="55"/>
        <v>0</v>
      </c>
      <c r="Z130" s="42">
        <f t="shared" si="56"/>
        <v>0</v>
      </c>
      <c r="AA130" s="96" t="e">
        <f t="shared" si="57"/>
        <v>#DIV/0!</v>
      </c>
      <c r="AB130" s="96" t="e">
        <f t="shared" si="58"/>
        <v>#DIV/0!</v>
      </c>
    </row>
    <row r="131" spans="1:28" hidden="1" outlineLevel="1" x14ac:dyDescent="0.25">
      <c r="A131" s="18"/>
      <c r="B131" s="38">
        <f t="shared" si="91"/>
        <v>15</v>
      </c>
      <c r="C131" s="54">
        <f t="shared" si="83"/>
        <v>114.4138235416744</v>
      </c>
      <c r="D131" s="33">
        <f>C131*VLOOKUP($A$117,Ταρίφες!$A$6:$G$23,$K$6,FALSE)*(1+$F$3)^(B131-1)</f>
        <v>50342.082358336738</v>
      </c>
      <c r="E131" s="33">
        <f>C131*VLOOKUP($A$117,Ταρίφες!$A$6:$G$23,$K$7,FALSE)*(1+$F$3)^(B131-1)</f>
        <v>36040.354415627437</v>
      </c>
      <c r="F131" s="46">
        <f t="shared" si="79"/>
        <v>-2638.9575261257442</v>
      </c>
      <c r="G131" s="47">
        <f t="shared" si="80"/>
        <v>-1055.5830104502977</v>
      </c>
      <c r="H131" s="47">
        <f t="shared" si="81"/>
        <v>-3694.5405365760421</v>
      </c>
      <c r="I131" s="46">
        <f t="shared" si="82"/>
        <v>-5937.6544337829246</v>
      </c>
      <c r="J131" s="47">
        <f t="shared" si="84"/>
        <v>-10480</v>
      </c>
      <c r="K131" s="47">
        <f t="shared" si="85"/>
        <v>-6899.1901813644499</v>
      </c>
      <c r="L131" s="47">
        <f t="shared" si="86"/>
        <v>-3180.7409162600316</v>
      </c>
      <c r="M131" s="47">
        <f t="shared" si="87"/>
        <v>30116.156670037279</v>
      </c>
      <c r="N131" s="47">
        <f t="shared" si="88"/>
        <v>19532.877992432397</v>
      </c>
      <c r="O131" s="34"/>
      <c r="P131" s="35"/>
      <c r="Q131" s="35"/>
      <c r="R131" s="33"/>
      <c r="S131" s="43"/>
      <c r="T131" s="19"/>
      <c r="U131" s="27">
        <f t="shared" si="89"/>
        <v>30116.156670037279</v>
      </c>
      <c r="V131" s="28">
        <f t="shared" si="90"/>
        <v>19532.877992432397</v>
      </c>
      <c r="W131" s="43"/>
      <c r="X131" s="19"/>
      <c r="Y131" s="42">
        <f t="shared" si="55"/>
        <v>0</v>
      </c>
      <c r="Z131" s="42">
        <f t="shared" si="56"/>
        <v>0</v>
      </c>
      <c r="AA131" s="96" t="e">
        <f t="shared" si="57"/>
        <v>#DIV/0!</v>
      </c>
      <c r="AB131" s="96" t="e">
        <f t="shared" si="58"/>
        <v>#DIV/0!</v>
      </c>
    </row>
    <row r="132" spans="1:28" hidden="1" outlineLevel="1" x14ac:dyDescent="0.25">
      <c r="A132" s="18"/>
      <c r="B132" s="38">
        <f t="shared" si="91"/>
        <v>16</v>
      </c>
      <c r="C132" s="54">
        <f t="shared" si="83"/>
        <v>113.26968530625766</v>
      </c>
      <c r="D132" s="33">
        <f>C132*VLOOKUP($A$117,Ταρίφες!$A$6:$G$23,$K$6,FALSE)*(1+$F$3)^(B132-1)</f>
        <v>49838.661534753366</v>
      </c>
      <c r="E132" s="33">
        <f>C132*VLOOKUP($A$117,Ταρίφες!$A$6:$G$23,$K$7,FALSE)*(1+$F$3)^(B132-1)</f>
        <v>35679.950871471163</v>
      </c>
      <c r="F132" s="46">
        <f t="shared" si="79"/>
        <v>-2691.7366766482583</v>
      </c>
      <c r="G132" s="47">
        <f t="shared" si="80"/>
        <v>-1076.6946706593035</v>
      </c>
      <c r="H132" s="47">
        <f t="shared" si="81"/>
        <v>-3768.4313473075617</v>
      </c>
      <c r="I132" s="46">
        <f t="shared" si="82"/>
        <v>-6056.4075224585813</v>
      </c>
      <c r="J132" s="47">
        <f t="shared" si="84"/>
        <v>-10480</v>
      </c>
      <c r="K132" s="47">
        <f t="shared" si="85"/>
        <v>-6699.0017425967126</v>
      </c>
      <c r="L132" s="47">
        <f t="shared" si="86"/>
        <v>-3017.7369701433395</v>
      </c>
      <c r="M132" s="47">
        <f t="shared" si="87"/>
        <v>29546.389575082951</v>
      </c>
      <c r="N132" s="47">
        <f t="shared" si="88"/>
        <v>19068.943684254122</v>
      </c>
      <c r="O132" s="34"/>
      <c r="P132" s="35"/>
      <c r="Q132" s="35"/>
      <c r="R132" s="33"/>
      <c r="S132" s="43"/>
      <c r="T132" s="19"/>
      <c r="U132" s="27">
        <f t="shared" si="89"/>
        <v>29546.389575082951</v>
      </c>
      <c r="V132" s="28">
        <f t="shared" si="90"/>
        <v>19068.943684254122</v>
      </c>
      <c r="W132" s="43"/>
      <c r="X132" s="19"/>
      <c r="Y132" s="42">
        <f t="shared" si="55"/>
        <v>0</v>
      </c>
      <c r="Z132" s="42">
        <f t="shared" si="56"/>
        <v>0</v>
      </c>
      <c r="AA132" s="96" t="e">
        <f t="shared" si="57"/>
        <v>#DIV/0!</v>
      </c>
      <c r="AB132" s="96" t="e">
        <f t="shared" si="58"/>
        <v>#DIV/0!</v>
      </c>
    </row>
    <row r="133" spans="1:28" hidden="1" outlineLevel="1" x14ac:dyDescent="0.25">
      <c r="A133" s="18"/>
      <c r="B133" s="38">
        <f t="shared" si="91"/>
        <v>17</v>
      </c>
      <c r="C133" s="54">
        <f t="shared" si="83"/>
        <v>112.13698845319507</v>
      </c>
      <c r="D133" s="33">
        <f>C133*VLOOKUP($A$117,Ταρίφες!$A$6:$G$23,$K$6,FALSE)*(1+$F$3)^(B133-1)</f>
        <v>49340.274919405834</v>
      </c>
      <c r="E133" s="33">
        <f>C133*VLOOKUP($A$117,Ταρίφες!$A$6:$G$23,$K$7,FALSE)*(1+$F$3)^(B133-1)</f>
        <v>35323.151362756449</v>
      </c>
      <c r="F133" s="46">
        <f t="shared" si="79"/>
        <v>-2745.5714101812241</v>
      </c>
      <c r="G133" s="47">
        <f t="shared" si="80"/>
        <v>-1098.2285640724897</v>
      </c>
      <c r="H133" s="47">
        <f t="shared" si="81"/>
        <v>-3843.7999742537136</v>
      </c>
      <c r="I133" s="46">
        <f t="shared" si="82"/>
        <v>-6177.5356729077539</v>
      </c>
      <c r="J133" s="47">
        <f t="shared" si="84"/>
        <v>-10480</v>
      </c>
      <c r="K133" s="47">
        <f t="shared" si="85"/>
        <v>-6498.7362174775699</v>
      </c>
      <c r="L133" s="47">
        <f t="shared" si="86"/>
        <v>-2854.2840927487296</v>
      </c>
      <c r="M133" s="47">
        <f t="shared" si="87"/>
        <v>28976.403080513082</v>
      </c>
      <c r="N133" s="47">
        <f t="shared" si="88"/>
        <v>18603.731648592537</v>
      </c>
      <c r="O133" s="34"/>
      <c r="P133" s="35"/>
      <c r="Q133" s="35"/>
      <c r="R133" s="33"/>
      <c r="S133" s="43"/>
      <c r="T133" s="19"/>
      <c r="U133" s="27">
        <f t="shared" si="89"/>
        <v>28976.403080513082</v>
      </c>
      <c r="V133" s="28">
        <f t="shared" si="90"/>
        <v>18603.731648592537</v>
      </c>
      <c r="W133" s="43"/>
      <c r="X133" s="19"/>
      <c r="Y133" s="42">
        <f t="shared" si="55"/>
        <v>0</v>
      </c>
      <c r="Z133" s="42">
        <f t="shared" si="56"/>
        <v>0</v>
      </c>
      <c r="AA133" s="96" t="e">
        <f t="shared" si="57"/>
        <v>#DIV/0!</v>
      </c>
      <c r="AB133" s="96" t="e">
        <f t="shared" si="58"/>
        <v>#DIV/0!</v>
      </c>
    </row>
    <row r="134" spans="1:28" hidden="1" outlineLevel="1" x14ac:dyDescent="0.25">
      <c r="A134" s="18"/>
      <c r="B134" s="38">
        <f t="shared" si="91"/>
        <v>18</v>
      </c>
      <c r="C134" s="54">
        <f t="shared" si="83"/>
        <v>111.01561856866311</v>
      </c>
      <c r="D134" s="33">
        <f>C134*VLOOKUP($A$117,Ταρίφες!$A$6:$G$23,$K$6,FALSE)*(1+$F$3)^(B134-1)</f>
        <v>48846.872170211769</v>
      </c>
      <c r="E134" s="33">
        <f>C134*VLOOKUP($A$117,Ταρίφες!$A$6:$G$23,$K$7,FALSE)*(1+$F$3)^(B134-1)</f>
        <v>34969.919849128884</v>
      </c>
      <c r="F134" s="46">
        <f t="shared" si="79"/>
        <v>-2800.4828383848489</v>
      </c>
      <c r="G134" s="47">
        <f t="shared" si="80"/>
        <v>-1120.1931353539396</v>
      </c>
      <c r="H134" s="47">
        <f t="shared" si="81"/>
        <v>-3920.6759737387883</v>
      </c>
      <c r="I134" s="46">
        <f t="shared" si="82"/>
        <v>-6301.0863863659097</v>
      </c>
      <c r="J134" s="47">
        <f t="shared" si="84"/>
        <v>-10480</v>
      </c>
      <c r="K134" s="47">
        <f t="shared" si="85"/>
        <v>-6298.3527974557537</v>
      </c>
      <c r="L134" s="47">
        <f t="shared" si="86"/>
        <v>-2690.345193974204</v>
      </c>
      <c r="M134" s="47">
        <f t="shared" si="87"/>
        <v>28406.081038912529</v>
      </c>
      <c r="N134" s="47">
        <f t="shared" si="88"/>
        <v>18137.136321311194</v>
      </c>
      <c r="O134" s="34"/>
      <c r="P134" s="35"/>
      <c r="Q134" s="35"/>
      <c r="R134" s="33"/>
      <c r="S134" s="43"/>
      <c r="T134" s="19"/>
      <c r="U134" s="27">
        <f t="shared" si="89"/>
        <v>28406.081038912529</v>
      </c>
      <c r="V134" s="28">
        <f t="shared" si="90"/>
        <v>18137.136321311194</v>
      </c>
      <c r="W134" s="43"/>
      <c r="X134" s="19"/>
      <c r="Y134" s="42">
        <f t="shared" si="55"/>
        <v>0</v>
      </c>
      <c r="Z134" s="42">
        <f t="shared" si="56"/>
        <v>0</v>
      </c>
      <c r="AA134" s="96" t="e">
        <f t="shared" si="57"/>
        <v>#DIV/0!</v>
      </c>
      <c r="AB134" s="96" t="e">
        <f t="shared" si="58"/>
        <v>#DIV/0!</v>
      </c>
    </row>
    <row r="135" spans="1:28" hidden="1" outlineLevel="1" x14ac:dyDescent="0.25">
      <c r="A135" s="18"/>
      <c r="B135" s="38">
        <f t="shared" si="91"/>
        <v>19</v>
      </c>
      <c r="C135" s="54">
        <f t="shared" si="83"/>
        <v>109.90546238297648</v>
      </c>
      <c r="D135" s="33">
        <f>C135*VLOOKUP($A$117,Ταρίφες!$A$6:$G$23,$K$6,FALSE)*(1+$F$3)^(B135-1)</f>
        <v>48358.403448509649</v>
      </c>
      <c r="E135" s="33">
        <f>C135*VLOOKUP($A$117,Ταρίφες!$A$6:$G$23,$K$7,FALSE)*(1+$F$3)^(B135-1)</f>
        <v>34620.220650637588</v>
      </c>
      <c r="F135" s="46">
        <f t="shared" si="79"/>
        <v>-2856.4924951525454</v>
      </c>
      <c r="G135" s="47">
        <f t="shared" si="80"/>
        <v>-1142.5969980610182</v>
      </c>
      <c r="H135" s="47">
        <f t="shared" si="81"/>
        <v>-3999.0894932135634</v>
      </c>
      <c r="I135" s="46">
        <f t="shared" si="82"/>
        <v>-6427.1081140932274</v>
      </c>
      <c r="J135" s="47">
        <f t="shared" si="84"/>
        <v>-10480</v>
      </c>
      <c r="K135" s="47">
        <f t="shared" si="85"/>
        <v>-6097.810250477216</v>
      </c>
      <c r="L135" s="47">
        <f t="shared" si="86"/>
        <v>-2525.8827230304805</v>
      </c>
      <c r="M135" s="47">
        <f t="shared" si="87"/>
        <v>27835.306097512075</v>
      </c>
      <c r="N135" s="47">
        <f t="shared" si="88"/>
        <v>17669.05082708675</v>
      </c>
      <c r="O135" s="34"/>
      <c r="P135" s="35"/>
      <c r="Q135" s="35"/>
      <c r="R135" s="33"/>
      <c r="S135" s="43"/>
      <c r="T135" s="19"/>
      <c r="U135" s="27">
        <f t="shared" si="89"/>
        <v>27835.306097512075</v>
      </c>
      <c r="V135" s="28">
        <f t="shared" si="90"/>
        <v>17669.05082708675</v>
      </c>
      <c r="W135" s="43"/>
      <c r="X135" s="19"/>
      <c r="Y135" s="42">
        <f t="shared" si="55"/>
        <v>0</v>
      </c>
      <c r="Z135" s="42">
        <f t="shared" si="56"/>
        <v>0</v>
      </c>
      <c r="AA135" s="96" t="e">
        <f t="shared" si="57"/>
        <v>#DIV/0!</v>
      </c>
      <c r="AB135" s="96" t="e">
        <f t="shared" si="58"/>
        <v>#DIV/0!</v>
      </c>
    </row>
    <row r="136" spans="1:28" hidden="1" outlineLevel="1" x14ac:dyDescent="0.25">
      <c r="A136" s="18"/>
      <c r="B136" s="38">
        <f>B135+1</f>
        <v>20</v>
      </c>
      <c r="C136" s="54">
        <f>C135*(1-$F$2)</f>
        <v>108.80640775914671</v>
      </c>
      <c r="D136" s="33">
        <f>C136*VLOOKUP($A$117,Ταρίφες!$A$6:$G$23,$K$6,FALSE)*(1+$F$3)^(B136-1)</f>
        <v>47874.819414024554</v>
      </c>
      <c r="E136" s="33">
        <f>C136*VLOOKUP($A$117,Ταρίφες!$A$6:$G$23,$K$7,FALSE)*(1+$F$3)^(B136-1)</f>
        <v>34274.018444131216</v>
      </c>
      <c r="F136" s="46">
        <f t="shared" si="79"/>
        <v>-2913.6223450555963</v>
      </c>
      <c r="G136" s="47">
        <f t="shared" si="80"/>
        <v>-1165.4489380222385</v>
      </c>
      <c r="H136" s="47">
        <f>-$K$4*(1+$F$4)^(B136-$B$12)</f>
        <v>-4079.0712830778348</v>
      </c>
      <c r="I136" s="46">
        <f>-(4500*(1+$F$4)^(B136-$B$12))</f>
        <v>-6555.6502763750914</v>
      </c>
      <c r="J136" s="47">
        <f t="shared" si="84"/>
        <v>-10480</v>
      </c>
      <c r="K136" s="47">
        <f>-(D136+SUM(F136:J136))*$F$5</f>
        <v>-5897.0669085883865</v>
      </c>
      <c r="L136" s="47">
        <f>-(E136+SUM(F136:J136))*$F$5</f>
        <v>-2360.8586564161183</v>
      </c>
      <c r="M136" s="47">
        <f>D136+SUM(F136:I136)+K136</f>
        <v>27263.959662905407</v>
      </c>
      <c r="N136" s="47">
        <f>E136+SUM(F136:I136)+L136</f>
        <v>17199.366945184334</v>
      </c>
      <c r="O136" s="34"/>
      <c r="P136" s="35"/>
      <c r="Q136" s="35"/>
      <c r="R136" s="33"/>
      <c r="S136" s="43"/>
      <c r="T136" s="19"/>
      <c r="U136" s="27">
        <f>M136</f>
        <v>27263.959662905407</v>
      </c>
      <c r="V136" s="28">
        <f>N136</f>
        <v>17199.366945184334</v>
      </c>
      <c r="W136" s="43"/>
      <c r="X136" s="19"/>
      <c r="Y136" s="42">
        <f t="shared" si="55"/>
        <v>0</v>
      </c>
      <c r="Z136" s="42">
        <f t="shared" si="56"/>
        <v>0</v>
      </c>
      <c r="AA136" s="96" t="e">
        <f t="shared" si="57"/>
        <v>#DIV/0!</v>
      </c>
      <c r="AB136" s="96" t="e">
        <f t="shared" si="58"/>
        <v>#DIV/0!</v>
      </c>
    </row>
    <row r="137" spans="1:28" s="40" customFormat="1" hidden="1" outlineLevel="1" x14ac:dyDescent="0.25">
      <c r="O137" s="17"/>
      <c r="P137" s="25"/>
      <c r="Q137" s="25"/>
      <c r="R137" s="22"/>
      <c r="S137" s="52"/>
      <c r="T137" s="44"/>
      <c r="U137" s="74">
        <f>O138</f>
        <v>-245250</v>
      </c>
      <c r="V137" s="74">
        <f>R138</f>
        <v>-171410.41088104248</v>
      </c>
      <c r="W137" s="52"/>
      <c r="X137" s="44"/>
      <c r="Y137" s="42">
        <f t="shared" si="55"/>
        <v>0</v>
      </c>
      <c r="Z137" s="42">
        <f t="shared" si="56"/>
        <v>0</v>
      </c>
      <c r="AA137" s="96" t="e">
        <f t="shared" si="57"/>
        <v>#DIV/0!</v>
      </c>
      <c r="AB137" s="96" t="e">
        <f t="shared" si="58"/>
        <v>#DIV/0!</v>
      </c>
    </row>
    <row r="138" spans="1:28" collapsed="1" x14ac:dyDescent="0.25">
      <c r="A138" s="32" t="str">
        <f>Ταρίφες!A16</f>
        <v>Γ Τριμ. 2011</v>
      </c>
      <c r="B138" s="38">
        <f>1</f>
        <v>1</v>
      </c>
      <c r="C138" s="54">
        <f>$F$8*$K$2/1000</f>
        <v>131.69999999999999</v>
      </c>
      <c r="D138" s="33">
        <f>C138*VLOOKUP($A$138,Ταρίφες!$A$6:$G$23,$K$6,FALSE)*(1+$F$3)^(B138-1)</f>
        <v>54655.499999999993</v>
      </c>
      <c r="E138" s="33">
        <f>C138*VLOOKUP($A$138,Ταρίφες!$A$6:$G$23,$K$7,FALSE)*(1+$F$3)^(B138-1)</f>
        <v>38851.5</v>
      </c>
      <c r="F138" s="46">
        <f t="shared" ref="F138:F157" si="92">-($K$5*(1+$F$4)^(B138-$B$12))</f>
        <v>-2000</v>
      </c>
      <c r="G138" s="47">
        <f t="shared" ref="G138:G157" si="93">-$K$2*10*(1+$F$4)^(B138-$B$12)</f>
        <v>-800</v>
      </c>
      <c r="H138" s="47">
        <f t="shared" ref="H138:H156" si="94">-$K$4*(1+$F$4)^(B138-$B$12)</f>
        <v>-2800</v>
      </c>
      <c r="I138" s="46">
        <f t="shared" ref="I138:I156" si="95">-(4500*(1+$F$4)^(B138-$B$12))</f>
        <v>-4500</v>
      </c>
      <c r="J138" s="47">
        <f>$O$138*4%</f>
        <v>-9810</v>
      </c>
      <c r="K138" s="47">
        <f>-(D138+SUM(F138:J138))*$F$5</f>
        <v>-9033.8299999999981</v>
      </c>
      <c r="L138" s="47">
        <f>-(E138+SUM(F138:J138))*$F$5</f>
        <v>-4924.79</v>
      </c>
      <c r="M138" s="47">
        <f>D138+SUM(F138:I138)+K138</f>
        <v>35521.67</v>
      </c>
      <c r="N138" s="47">
        <f>E138+SUM(F138:I138)+L138</f>
        <v>23826.71</v>
      </c>
      <c r="O138" s="35">
        <f>-VLOOKUP(A138,'Κόστος Κατασκευής'!$A$4:$Q$17,$K$8,FALSE)</f>
        <v>-245250</v>
      </c>
      <c r="P138" s="36">
        <f>$K$3</f>
        <v>96000</v>
      </c>
      <c r="Q138" s="36">
        <f>Q117*15/16</f>
        <v>-22160.410881042484</v>
      </c>
      <c r="R138" s="37">
        <f>SUM(O138:Q138)</f>
        <v>-171410.41088104248</v>
      </c>
      <c r="S138" s="42">
        <f>IRR(U137:U157)</f>
        <v>0.11753566436702911</v>
      </c>
      <c r="T138" s="42">
        <f>IRR(V137:V157)</f>
        <v>0.10774537706998122</v>
      </c>
      <c r="U138" s="27">
        <f>M138</f>
        <v>35521.67</v>
      </c>
      <c r="V138" s="28">
        <f>N138</f>
        <v>23826.71</v>
      </c>
      <c r="W138" s="42">
        <f>'IRR ΔΣ Ισχύον'!S138</f>
        <v>0.16315736251868618</v>
      </c>
      <c r="X138" s="42">
        <f>'IRR ΔΣ Ισχύον'!T138</f>
        <v>0.15576572652026255</v>
      </c>
      <c r="Y138" s="42">
        <f t="shared" si="55"/>
        <v>-4.5621698151657064E-2</v>
      </c>
      <c r="Z138" s="42">
        <f t="shared" si="56"/>
        <v>-4.802034945028133E-2</v>
      </c>
      <c r="AA138" s="96">
        <f t="shared" si="57"/>
        <v>0.39143730886850153</v>
      </c>
      <c r="AB138" s="96">
        <f t="shared" si="58"/>
        <v>0.30107885471542312</v>
      </c>
    </row>
    <row r="139" spans="1:28" hidden="1" outlineLevel="1" x14ac:dyDescent="0.25">
      <c r="A139" s="18"/>
      <c r="B139" s="38">
        <f>B138+1</f>
        <v>2</v>
      </c>
      <c r="C139" s="54">
        <f t="shared" ref="C139:C156" si="96">C138*(1-$F$2)</f>
        <v>130.38299999999998</v>
      </c>
      <c r="D139" s="33">
        <f>C139*VLOOKUP($A$138,Ταρίφες!$A$6:$G$23,$K$6,FALSE)*(1+$F$3)^(B139-1)</f>
        <v>54108.944999999992</v>
      </c>
      <c r="E139" s="33">
        <f>C139*VLOOKUP($A$138,Ταρίφες!$A$6:$G$23,$K$7,FALSE)*(1+$F$3)^(B139-1)</f>
        <v>38462.984999999993</v>
      </c>
      <c r="F139" s="46">
        <f t="shared" si="92"/>
        <v>-2040</v>
      </c>
      <c r="G139" s="47">
        <f t="shared" si="93"/>
        <v>-816</v>
      </c>
      <c r="H139" s="47">
        <f t="shared" si="94"/>
        <v>-2856</v>
      </c>
      <c r="I139" s="46">
        <f t="shared" si="95"/>
        <v>-4590</v>
      </c>
      <c r="J139" s="47">
        <f t="shared" ref="J139:J157" si="97">$O$117*4%</f>
        <v>-10480</v>
      </c>
      <c r="K139" s="47">
        <f t="shared" ref="K139:K156" si="98">-(D139+SUM(F139:J139))*$F$5</f>
        <v>-8665.0056999999979</v>
      </c>
      <c r="L139" s="47">
        <f t="shared" ref="L139:L156" si="99">-(E139+SUM(F139:J139))*$F$5</f>
        <v>-4597.056099999998</v>
      </c>
      <c r="M139" s="47">
        <f t="shared" ref="M139:M156" si="100">D139+SUM(F139:I139)+K139</f>
        <v>35141.939299999998</v>
      </c>
      <c r="N139" s="47">
        <f t="shared" ref="N139:N156" si="101">E139+SUM(F139:I139)+L139</f>
        <v>23563.928899999995</v>
      </c>
      <c r="O139" s="34"/>
      <c r="P139" s="35"/>
      <c r="Q139" s="35"/>
      <c r="R139" s="33"/>
      <c r="S139" s="43"/>
      <c r="T139" s="19"/>
      <c r="U139" s="27">
        <f t="shared" ref="U139:U156" si="102">M139</f>
        <v>35141.939299999998</v>
      </c>
      <c r="V139" s="28">
        <f t="shared" ref="V139:V156" si="103">N139</f>
        <v>23563.928899999995</v>
      </c>
      <c r="W139" s="43"/>
      <c r="X139" s="19"/>
      <c r="Y139" s="42">
        <f t="shared" si="55"/>
        <v>0</v>
      </c>
      <c r="Z139" s="42">
        <f t="shared" si="56"/>
        <v>0</v>
      </c>
      <c r="AA139" s="96" t="e">
        <f t="shared" si="57"/>
        <v>#DIV/0!</v>
      </c>
      <c r="AB139" s="96" t="e">
        <f t="shared" si="58"/>
        <v>#DIV/0!</v>
      </c>
    </row>
    <row r="140" spans="1:28" hidden="1" outlineLevel="1" x14ac:dyDescent="0.25">
      <c r="A140" s="18"/>
      <c r="B140" s="38">
        <f t="shared" ref="B140:B156" si="104">B139+1</f>
        <v>3</v>
      </c>
      <c r="C140" s="54">
        <f t="shared" si="96"/>
        <v>129.07916999999998</v>
      </c>
      <c r="D140" s="33">
        <f>C140*VLOOKUP($A$138,Ταρίφες!$A$6:$G$23,$K$6,FALSE)*(1+$F$3)^(B140-1)</f>
        <v>53567.855549999993</v>
      </c>
      <c r="E140" s="33">
        <f>C140*VLOOKUP($A$138,Ταρίφες!$A$6:$G$23,$K$7,FALSE)*(1+$F$3)^(B140-1)</f>
        <v>38078.355149999996</v>
      </c>
      <c r="F140" s="46">
        <f t="shared" si="92"/>
        <v>-2080.8000000000002</v>
      </c>
      <c r="G140" s="47">
        <f t="shared" si="93"/>
        <v>-832.31999999999994</v>
      </c>
      <c r="H140" s="47">
        <f t="shared" si="94"/>
        <v>-2913.12</v>
      </c>
      <c r="I140" s="46">
        <f t="shared" si="95"/>
        <v>-4681.8</v>
      </c>
      <c r="J140" s="47">
        <f t="shared" si="97"/>
        <v>-10480</v>
      </c>
      <c r="K140" s="47">
        <f t="shared" si="98"/>
        <v>-8470.7520429999986</v>
      </c>
      <c r="L140" s="47">
        <f t="shared" si="99"/>
        <v>-4443.4819389999984</v>
      </c>
      <c r="M140" s="47">
        <f t="shared" si="100"/>
        <v>34589.063506999992</v>
      </c>
      <c r="N140" s="47">
        <f t="shared" si="101"/>
        <v>23126.833210999997</v>
      </c>
      <c r="O140" s="34"/>
      <c r="P140" s="35"/>
      <c r="Q140" s="35"/>
      <c r="R140" s="33"/>
      <c r="S140" s="43"/>
      <c r="T140" s="19"/>
      <c r="U140" s="27">
        <f t="shared" si="102"/>
        <v>34589.063506999992</v>
      </c>
      <c r="V140" s="28">
        <f t="shared" si="103"/>
        <v>23126.833210999997</v>
      </c>
      <c r="W140" s="43"/>
      <c r="X140" s="19"/>
      <c r="Y140" s="42">
        <f t="shared" si="55"/>
        <v>0</v>
      </c>
      <c r="Z140" s="42">
        <f t="shared" si="56"/>
        <v>0</v>
      </c>
      <c r="AA140" s="96" t="e">
        <f t="shared" si="57"/>
        <v>#DIV/0!</v>
      </c>
      <c r="AB140" s="96" t="e">
        <f t="shared" si="58"/>
        <v>#DIV/0!</v>
      </c>
    </row>
    <row r="141" spans="1:28" hidden="1" outlineLevel="1" x14ac:dyDescent="0.25">
      <c r="A141" s="18"/>
      <c r="B141" s="38">
        <f t="shared" si="104"/>
        <v>4</v>
      </c>
      <c r="C141" s="54">
        <f t="shared" si="96"/>
        <v>127.78837829999998</v>
      </c>
      <c r="D141" s="33">
        <f>C141*VLOOKUP($A$138,Ταρίφες!$A$6:$G$23,$K$6,FALSE)*(1+$F$3)^(B141-1)</f>
        <v>53032.176994499991</v>
      </c>
      <c r="E141" s="33">
        <f>C141*VLOOKUP($A$138,Ταρίφες!$A$6:$G$23,$K$7,FALSE)*(1+$F$3)^(B141-1)</f>
        <v>37697.571598499992</v>
      </c>
      <c r="F141" s="46">
        <f t="shared" si="92"/>
        <v>-2122.4159999999997</v>
      </c>
      <c r="G141" s="47">
        <f t="shared" si="93"/>
        <v>-848.96639999999991</v>
      </c>
      <c r="H141" s="47">
        <f t="shared" si="94"/>
        <v>-2971.3824</v>
      </c>
      <c r="I141" s="46">
        <f t="shared" si="95"/>
        <v>-4775.4359999999997</v>
      </c>
      <c r="J141" s="47">
        <f t="shared" si="97"/>
        <v>-10480</v>
      </c>
      <c r="K141" s="47">
        <f t="shared" si="98"/>
        <v>-8276.8338105699986</v>
      </c>
      <c r="L141" s="47">
        <f t="shared" si="99"/>
        <v>-4289.8364076099979</v>
      </c>
      <c r="M141" s="47">
        <f t="shared" si="100"/>
        <v>34037.142383929997</v>
      </c>
      <c r="N141" s="47">
        <f t="shared" si="101"/>
        <v>22689.534390889996</v>
      </c>
      <c r="O141" s="34"/>
      <c r="P141" s="35"/>
      <c r="Q141" s="35"/>
      <c r="R141" s="33"/>
      <c r="S141" s="43"/>
      <c r="T141" s="19"/>
      <c r="U141" s="27">
        <f t="shared" si="102"/>
        <v>34037.142383929997</v>
      </c>
      <c r="V141" s="28">
        <f t="shared" si="103"/>
        <v>22689.534390889996</v>
      </c>
      <c r="W141" s="43"/>
      <c r="X141" s="19"/>
      <c r="Y141" s="42">
        <f t="shared" ref="Y141:Y204" si="105">S141-W141</f>
        <v>0</v>
      </c>
      <c r="Z141" s="42">
        <f t="shared" ref="Z141:Z204" si="106">T141-X141</f>
        <v>0</v>
      </c>
      <c r="AA141" s="96" t="e">
        <f t="shared" ref="AA141:AA204" si="107">(P141)/-O141</f>
        <v>#DIV/0!</v>
      </c>
      <c r="AB141" s="96" t="e">
        <f t="shared" ref="AB141:AB204" si="108">(P141+Q141)/-O141</f>
        <v>#DIV/0!</v>
      </c>
    </row>
    <row r="142" spans="1:28" hidden="1" outlineLevel="1" x14ac:dyDescent="0.25">
      <c r="A142" s="18"/>
      <c r="B142" s="38">
        <f t="shared" si="104"/>
        <v>5</v>
      </c>
      <c r="C142" s="54">
        <f t="shared" si="96"/>
        <v>126.51049451699997</v>
      </c>
      <c r="D142" s="33">
        <f>C142*VLOOKUP($A$138,Ταρίφες!$A$6:$G$23,$K$6,FALSE)*(1+$F$3)^(B142-1)</f>
        <v>52501.855224554987</v>
      </c>
      <c r="E142" s="33">
        <f>C142*VLOOKUP($A$138,Ταρίφες!$A$6:$G$23,$K$7,FALSE)*(1+$F$3)^(B142-1)</f>
        <v>37320.595882514994</v>
      </c>
      <c r="F142" s="46">
        <f t="shared" si="92"/>
        <v>-2164.8643200000001</v>
      </c>
      <c r="G142" s="47">
        <f t="shared" si="93"/>
        <v>-865.94572800000003</v>
      </c>
      <c r="H142" s="47">
        <f t="shared" si="94"/>
        <v>-3030.8100479999998</v>
      </c>
      <c r="I142" s="46">
        <f t="shared" si="95"/>
        <v>-4870.9447199999995</v>
      </c>
      <c r="J142" s="47">
        <f t="shared" si="97"/>
        <v>-10480</v>
      </c>
      <c r="K142" s="47">
        <f t="shared" si="98"/>
        <v>-8083.2155062242973</v>
      </c>
      <c r="L142" s="47">
        <f t="shared" si="99"/>
        <v>-4136.088077293899</v>
      </c>
      <c r="M142" s="47">
        <f t="shared" si="100"/>
        <v>33486.074902330693</v>
      </c>
      <c r="N142" s="47">
        <f t="shared" si="101"/>
        <v>22251.942989221097</v>
      </c>
      <c r="O142" s="34"/>
      <c r="P142" s="35"/>
      <c r="Q142" s="35"/>
      <c r="R142" s="33"/>
      <c r="S142" s="43"/>
      <c r="T142" s="19"/>
      <c r="U142" s="27">
        <f t="shared" si="102"/>
        <v>33486.074902330693</v>
      </c>
      <c r="V142" s="28">
        <f t="shared" si="103"/>
        <v>22251.942989221097</v>
      </c>
      <c r="W142" s="43"/>
      <c r="X142" s="19"/>
      <c r="Y142" s="42">
        <f t="shared" si="105"/>
        <v>0</v>
      </c>
      <c r="Z142" s="42">
        <f t="shared" si="106"/>
        <v>0</v>
      </c>
      <c r="AA142" s="96" t="e">
        <f t="shared" si="107"/>
        <v>#DIV/0!</v>
      </c>
      <c r="AB142" s="96" t="e">
        <f t="shared" si="108"/>
        <v>#DIV/0!</v>
      </c>
    </row>
    <row r="143" spans="1:28" hidden="1" outlineLevel="1" x14ac:dyDescent="0.25">
      <c r="A143" s="18"/>
      <c r="B143" s="38">
        <f t="shared" si="104"/>
        <v>6</v>
      </c>
      <c r="C143" s="54">
        <f t="shared" si="96"/>
        <v>125.24538957182997</v>
      </c>
      <c r="D143" s="33">
        <f>C143*VLOOKUP($A$138,Ταρίφες!$A$6:$G$23,$K$6,FALSE)*(1+$F$3)^(B143-1)</f>
        <v>51976.836672309437</v>
      </c>
      <c r="E143" s="33">
        <f>C143*VLOOKUP($A$138,Ταρίφες!$A$6:$G$23,$K$7,FALSE)*(1+$F$3)^(B143-1)</f>
        <v>36947.389923689843</v>
      </c>
      <c r="F143" s="46">
        <f t="shared" si="92"/>
        <v>-2208.1616064</v>
      </c>
      <c r="G143" s="47">
        <f t="shared" si="93"/>
        <v>-883.26464255999997</v>
      </c>
      <c r="H143" s="47">
        <f t="shared" si="94"/>
        <v>-3091.4262489600001</v>
      </c>
      <c r="I143" s="46">
        <f t="shared" si="95"/>
        <v>-4968.3636144000002</v>
      </c>
      <c r="J143" s="47">
        <f t="shared" si="97"/>
        <v>-10480</v>
      </c>
      <c r="K143" s="47">
        <f t="shared" si="98"/>
        <v>-7889.8613455972545</v>
      </c>
      <c r="L143" s="47">
        <f t="shared" si="99"/>
        <v>-3982.2051909561596</v>
      </c>
      <c r="M143" s="47">
        <f t="shared" si="100"/>
        <v>32935.759214392187</v>
      </c>
      <c r="N143" s="47">
        <f t="shared" si="101"/>
        <v>21813.968620413685</v>
      </c>
      <c r="O143" s="34"/>
      <c r="P143" s="35"/>
      <c r="Q143" s="35"/>
      <c r="R143" s="33"/>
      <c r="S143" s="43"/>
      <c r="T143" s="19"/>
      <c r="U143" s="27">
        <f t="shared" si="102"/>
        <v>32935.759214392187</v>
      </c>
      <c r="V143" s="28">
        <f t="shared" si="103"/>
        <v>21813.968620413685</v>
      </c>
      <c r="W143" s="43"/>
      <c r="X143" s="19"/>
      <c r="Y143" s="42">
        <f t="shared" si="105"/>
        <v>0</v>
      </c>
      <c r="Z143" s="42">
        <f t="shared" si="106"/>
        <v>0</v>
      </c>
      <c r="AA143" s="96" t="e">
        <f t="shared" si="107"/>
        <v>#DIV/0!</v>
      </c>
      <c r="AB143" s="96" t="e">
        <f t="shared" si="108"/>
        <v>#DIV/0!</v>
      </c>
    </row>
    <row r="144" spans="1:28" hidden="1" outlineLevel="1" x14ac:dyDescent="0.25">
      <c r="A144" s="18"/>
      <c r="B144" s="38">
        <f t="shared" si="104"/>
        <v>7</v>
      </c>
      <c r="C144" s="54">
        <f t="shared" si="96"/>
        <v>123.99293567611167</v>
      </c>
      <c r="D144" s="33">
        <f>C144*VLOOKUP($A$138,Ταρίφες!$A$6:$G$23,$K$6,FALSE)*(1+$F$3)^(B144-1)</f>
        <v>51457.068305586341</v>
      </c>
      <c r="E144" s="33">
        <f>C144*VLOOKUP($A$138,Ταρίφες!$A$6:$G$23,$K$7,FALSE)*(1+$F$3)^(B144-1)</f>
        <v>36577.916024452941</v>
      </c>
      <c r="F144" s="46">
        <f t="shared" si="92"/>
        <v>-2252.3248385280003</v>
      </c>
      <c r="G144" s="47">
        <f t="shared" si="93"/>
        <v>-900.92993541120006</v>
      </c>
      <c r="H144" s="47">
        <f t="shared" si="94"/>
        <v>-3153.2547739392003</v>
      </c>
      <c r="I144" s="46">
        <f t="shared" si="95"/>
        <v>-5067.7308866880003</v>
      </c>
      <c r="J144" s="47">
        <f t="shared" si="97"/>
        <v>-10480</v>
      </c>
      <c r="K144" s="47">
        <f t="shared" si="98"/>
        <v>-7696.7352464651849</v>
      </c>
      <c r="L144" s="47">
        <f t="shared" si="99"/>
        <v>-3828.1556533705007</v>
      </c>
      <c r="M144" s="47">
        <f t="shared" si="100"/>
        <v>32386.092624554753</v>
      </c>
      <c r="N144" s="47">
        <f t="shared" si="101"/>
        <v>21375.519936516041</v>
      </c>
      <c r="O144" s="34"/>
      <c r="P144" s="35"/>
      <c r="Q144" s="35"/>
      <c r="R144" s="33"/>
      <c r="S144" s="43"/>
      <c r="T144" s="19"/>
      <c r="U144" s="27">
        <f t="shared" si="102"/>
        <v>32386.092624554753</v>
      </c>
      <c r="V144" s="28">
        <f t="shared" si="103"/>
        <v>21375.519936516041</v>
      </c>
      <c r="W144" s="43"/>
      <c r="X144" s="19"/>
      <c r="Y144" s="42">
        <f t="shared" si="105"/>
        <v>0</v>
      </c>
      <c r="Z144" s="42">
        <f t="shared" si="106"/>
        <v>0</v>
      </c>
      <c r="AA144" s="96" t="e">
        <f t="shared" si="107"/>
        <v>#DIV/0!</v>
      </c>
      <c r="AB144" s="96" t="e">
        <f t="shared" si="108"/>
        <v>#DIV/0!</v>
      </c>
    </row>
    <row r="145" spans="1:28" hidden="1" outlineLevel="1" x14ac:dyDescent="0.25">
      <c r="A145" s="18"/>
      <c r="B145" s="38">
        <f t="shared" si="104"/>
        <v>8</v>
      </c>
      <c r="C145" s="54">
        <f t="shared" si="96"/>
        <v>122.75300631935055</v>
      </c>
      <c r="D145" s="33">
        <f>C145*VLOOKUP($A$138,Ταρίφες!$A$6:$G$23,$K$6,FALSE)*(1+$F$3)^(B145-1)</f>
        <v>50942.497622530478</v>
      </c>
      <c r="E145" s="33">
        <f>C145*VLOOKUP($A$138,Ταρίφες!$A$6:$G$23,$K$7,FALSE)*(1+$F$3)^(B145-1)</f>
        <v>36212.136864208413</v>
      </c>
      <c r="F145" s="46">
        <f t="shared" si="92"/>
        <v>-2297.3713352985596</v>
      </c>
      <c r="G145" s="47">
        <f t="shared" si="93"/>
        <v>-918.94853411942381</v>
      </c>
      <c r="H145" s="47">
        <f t="shared" si="94"/>
        <v>-3216.3198694179837</v>
      </c>
      <c r="I145" s="46">
        <f t="shared" si="95"/>
        <v>-5169.0855044217587</v>
      </c>
      <c r="J145" s="47">
        <f t="shared" si="97"/>
        <v>-10480</v>
      </c>
      <c r="K145" s="47">
        <f t="shared" si="98"/>
        <v>-7503.8008186109155</v>
      </c>
      <c r="L145" s="47">
        <f t="shared" si="99"/>
        <v>-3673.9070214471785</v>
      </c>
      <c r="M145" s="47">
        <f t="shared" si="100"/>
        <v>31836.971560661834</v>
      </c>
      <c r="N145" s="47">
        <f t="shared" si="101"/>
        <v>20936.504599503507</v>
      </c>
      <c r="O145" s="34"/>
      <c r="P145" s="35"/>
      <c r="Q145" s="35"/>
      <c r="R145" s="33"/>
      <c r="S145" s="43"/>
      <c r="T145" s="19"/>
      <c r="U145" s="27">
        <f t="shared" si="102"/>
        <v>31836.971560661834</v>
      </c>
      <c r="V145" s="28">
        <f t="shared" si="103"/>
        <v>20936.504599503507</v>
      </c>
      <c r="W145" s="43"/>
      <c r="X145" s="19"/>
      <c r="Y145" s="42">
        <f t="shared" si="105"/>
        <v>0</v>
      </c>
      <c r="Z145" s="42">
        <f t="shared" si="106"/>
        <v>0</v>
      </c>
      <c r="AA145" s="96" t="e">
        <f t="shared" si="107"/>
        <v>#DIV/0!</v>
      </c>
      <c r="AB145" s="96" t="e">
        <f t="shared" si="108"/>
        <v>#DIV/0!</v>
      </c>
    </row>
    <row r="146" spans="1:28" hidden="1" outlineLevel="1" x14ac:dyDescent="0.25">
      <c r="A146" s="18"/>
      <c r="B146" s="38">
        <f t="shared" si="104"/>
        <v>9</v>
      </c>
      <c r="C146" s="54">
        <f t="shared" si="96"/>
        <v>121.52547625615703</v>
      </c>
      <c r="D146" s="33">
        <f>C146*VLOOKUP($A$138,Ταρίφες!$A$6:$G$23,$K$6,FALSE)*(1+$F$3)^(B146-1)</f>
        <v>50433.072646305169</v>
      </c>
      <c r="E146" s="33">
        <f>C146*VLOOKUP($A$138,Ταρίφες!$A$6:$G$23,$K$7,FALSE)*(1+$F$3)^(B146-1)</f>
        <v>35850.015495566324</v>
      </c>
      <c r="F146" s="46">
        <f t="shared" si="92"/>
        <v>-2343.318762004531</v>
      </c>
      <c r="G146" s="47">
        <f t="shared" si="93"/>
        <v>-937.32750480181244</v>
      </c>
      <c r="H146" s="47">
        <f t="shared" si="94"/>
        <v>-3280.6462668063436</v>
      </c>
      <c r="I146" s="46">
        <f t="shared" si="95"/>
        <v>-5272.4672145101949</v>
      </c>
      <c r="J146" s="47">
        <f t="shared" si="97"/>
        <v>-10480</v>
      </c>
      <c r="K146" s="47">
        <f t="shared" si="98"/>
        <v>-7311.0213535273951</v>
      </c>
      <c r="L146" s="47">
        <f t="shared" si="99"/>
        <v>-3519.4264943352955</v>
      </c>
      <c r="M146" s="47">
        <f t="shared" si="100"/>
        <v>31288.291544654894</v>
      </c>
      <c r="N146" s="47">
        <f t="shared" si="101"/>
        <v>20496.829253108146</v>
      </c>
      <c r="O146" s="34"/>
      <c r="P146" s="35"/>
      <c r="Q146" s="35"/>
      <c r="R146" s="33"/>
      <c r="S146" s="43"/>
      <c r="T146" s="19"/>
      <c r="U146" s="27">
        <f t="shared" si="102"/>
        <v>31288.291544654894</v>
      </c>
      <c r="V146" s="28">
        <f t="shared" si="103"/>
        <v>20496.829253108146</v>
      </c>
      <c r="W146" s="43"/>
      <c r="X146" s="19"/>
      <c r="Y146" s="42">
        <f t="shared" si="105"/>
        <v>0</v>
      </c>
      <c r="Z146" s="42">
        <f t="shared" si="106"/>
        <v>0</v>
      </c>
      <c r="AA146" s="96" t="e">
        <f t="shared" si="107"/>
        <v>#DIV/0!</v>
      </c>
      <c r="AB146" s="96" t="e">
        <f t="shared" si="108"/>
        <v>#DIV/0!</v>
      </c>
    </row>
    <row r="147" spans="1:28" hidden="1" outlineLevel="1" x14ac:dyDescent="0.25">
      <c r="A147" s="18"/>
      <c r="B147" s="38">
        <f t="shared" si="104"/>
        <v>10</v>
      </c>
      <c r="C147" s="54">
        <f t="shared" si="96"/>
        <v>120.31022149359546</v>
      </c>
      <c r="D147" s="33">
        <f>C147*VLOOKUP($A$138,Ταρίφες!$A$6:$G$23,$K$6,FALSE)*(1+$F$3)^(B147-1)</f>
        <v>49928.741919842119</v>
      </c>
      <c r="E147" s="33">
        <f>C147*VLOOKUP($A$138,Ταρίφες!$A$6:$G$23,$K$7,FALSE)*(1+$F$3)^(B147-1)</f>
        <v>35491.515340610662</v>
      </c>
      <c r="F147" s="46">
        <f t="shared" si="92"/>
        <v>-2390.1851372446217</v>
      </c>
      <c r="G147" s="47">
        <f t="shared" si="93"/>
        <v>-956.07405489784867</v>
      </c>
      <c r="H147" s="47">
        <f t="shared" si="94"/>
        <v>-3346.2591921424705</v>
      </c>
      <c r="I147" s="46">
        <f t="shared" si="95"/>
        <v>-5377.9165588003989</v>
      </c>
      <c r="J147" s="47">
        <f t="shared" si="97"/>
        <v>-10480</v>
      </c>
      <c r="K147" s="47">
        <f t="shared" si="98"/>
        <v>-7118.359813956763</v>
      </c>
      <c r="L147" s="47">
        <f t="shared" si="99"/>
        <v>-3364.6809033565837</v>
      </c>
      <c r="M147" s="47">
        <f t="shared" si="100"/>
        <v>30739.947162800017</v>
      </c>
      <c r="N147" s="47">
        <f t="shared" si="101"/>
        <v>20056.399494168738</v>
      </c>
      <c r="O147" s="34"/>
      <c r="P147" s="35"/>
      <c r="Q147" s="35"/>
      <c r="R147" s="33"/>
      <c r="S147" s="43"/>
      <c r="T147" s="19"/>
      <c r="U147" s="27">
        <f t="shared" si="102"/>
        <v>30739.947162800017</v>
      </c>
      <c r="V147" s="28">
        <f t="shared" si="103"/>
        <v>20056.399494168738</v>
      </c>
      <c r="W147" s="43"/>
      <c r="X147" s="19"/>
      <c r="Y147" s="42">
        <f t="shared" si="105"/>
        <v>0</v>
      </c>
      <c r="Z147" s="42">
        <f t="shared" si="106"/>
        <v>0</v>
      </c>
      <c r="AA147" s="96" t="e">
        <f t="shared" si="107"/>
        <v>#DIV/0!</v>
      </c>
      <c r="AB147" s="96" t="e">
        <f t="shared" si="108"/>
        <v>#DIV/0!</v>
      </c>
    </row>
    <row r="148" spans="1:28" hidden="1" outlineLevel="1" x14ac:dyDescent="0.25">
      <c r="A148" s="18"/>
      <c r="B148" s="38">
        <f t="shared" si="104"/>
        <v>11</v>
      </c>
      <c r="C148" s="54">
        <f t="shared" si="96"/>
        <v>119.10711927865951</v>
      </c>
      <c r="D148" s="33">
        <f>C148*VLOOKUP($A$138,Ταρίφες!$A$6:$G$23,$K$6,FALSE)*(1+$F$3)^(B148-1)</f>
        <v>49429.454500643697</v>
      </c>
      <c r="E148" s="33">
        <f>C148*VLOOKUP($A$138,Ταρίφες!$A$6:$G$23,$K$7,FALSE)*(1+$F$3)^(B148-1)</f>
        <v>35136.600187204553</v>
      </c>
      <c r="F148" s="46">
        <f t="shared" si="92"/>
        <v>-2437.9888399895144</v>
      </c>
      <c r="G148" s="47">
        <f t="shared" si="93"/>
        <v>-975.1955359958057</v>
      </c>
      <c r="H148" s="47">
        <f t="shared" si="94"/>
        <v>-3413.18437598532</v>
      </c>
      <c r="I148" s="46">
        <f t="shared" si="95"/>
        <v>-5485.4748899764072</v>
      </c>
      <c r="J148" s="47">
        <f t="shared" si="97"/>
        <v>-10480</v>
      </c>
      <c r="K148" s="47">
        <f t="shared" si="98"/>
        <v>-6925.7788232611292</v>
      </c>
      <c r="L148" s="47">
        <f t="shared" si="99"/>
        <v>-3209.6367017669518</v>
      </c>
      <c r="M148" s="47">
        <f t="shared" si="100"/>
        <v>30191.832035435524</v>
      </c>
      <c r="N148" s="47">
        <f t="shared" si="101"/>
        <v>19615.119843490556</v>
      </c>
      <c r="O148" s="34"/>
      <c r="P148" s="35"/>
      <c r="Q148" s="35"/>
      <c r="R148" s="33"/>
      <c r="S148" s="43"/>
      <c r="T148" s="19"/>
      <c r="U148" s="27">
        <f t="shared" si="102"/>
        <v>30191.832035435524</v>
      </c>
      <c r="V148" s="28">
        <f t="shared" si="103"/>
        <v>19615.119843490556</v>
      </c>
      <c r="W148" s="43"/>
      <c r="X148" s="19"/>
      <c r="Y148" s="42">
        <f t="shared" si="105"/>
        <v>0</v>
      </c>
      <c r="Z148" s="42">
        <f t="shared" si="106"/>
        <v>0</v>
      </c>
      <c r="AA148" s="96" t="e">
        <f t="shared" si="107"/>
        <v>#DIV/0!</v>
      </c>
      <c r="AB148" s="96" t="e">
        <f t="shared" si="108"/>
        <v>#DIV/0!</v>
      </c>
    </row>
    <row r="149" spans="1:28" hidden="1" outlineLevel="1" x14ac:dyDescent="0.25">
      <c r="A149" s="18"/>
      <c r="B149" s="38">
        <f t="shared" si="104"/>
        <v>12</v>
      </c>
      <c r="C149" s="54">
        <f t="shared" si="96"/>
        <v>117.91604808587292</v>
      </c>
      <c r="D149" s="33">
        <f>C149*VLOOKUP($A$138,Ταρίφες!$A$6:$G$23,$K$6,FALSE)*(1+$F$3)^(B149-1)</f>
        <v>48935.15995563726</v>
      </c>
      <c r="E149" s="33">
        <f>C149*VLOOKUP($A$138,Ταρίφες!$A$6:$G$23,$K$7,FALSE)*(1+$F$3)^(B149-1)</f>
        <v>34785.234185332512</v>
      </c>
      <c r="F149" s="46">
        <f t="shared" si="92"/>
        <v>-2486.7486167893039</v>
      </c>
      <c r="G149" s="47">
        <f t="shared" si="93"/>
        <v>-994.69944671572159</v>
      </c>
      <c r="H149" s="47">
        <f t="shared" si="94"/>
        <v>-3481.4480635050259</v>
      </c>
      <c r="I149" s="46">
        <f t="shared" si="95"/>
        <v>-5595.1843877759338</v>
      </c>
      <c r="J149" s="47">
        <f t="shared" si="97"/>
        <v>-10480</v>
      </c>
      <c r="K149" s="47">
        <f t="shared" si="98"/>
        <v>-6733.2406546213315</v>
      </c>
      <c r="L149" s="47">
        <f t="shared" si="99"/>
        <v>-3054.259954342097</v>
      </c>
      <c r="M149" s="47">
        <f t="shared" si="100"/>
        <v>29643.838786229942</v>
      </c>
      <c r="N149" s="47">
        <f t="shared" si="101"/>
        <v>19172.893716204428</v>
      </c>
      <c r="O149" s="34"/>
      <c r="P149" s="35"/>
      <c r="Q149" s="35"/>
      <c r="R149" s="33"/>
      <c r="S149" s="43"/>
      <c r="T149" s="19"/>
      <c r="U149" s="27">
        <f t="shared" si="102"/>
        <v>29643.838786229942</v>
      </c>
      <c r="V149" s="28">
        <f t="shared" si="103"/>
        <v>19172.893716204428</v>
      </c>
      <c r="W149" s="43"/>
      <c r="X149" s="19"/>
      <c r="Y149" s="42">
        <f t="shared" si="105"/>
        <v>0</v>
      </c>
      <c r="Z149" s="42">
        <f t="shared" si="106"/>
        <v>0</v>
      </c>
      <c r="AA149" s="96" t="e">
        <f t="shared" si="107"/>
        <v>#DIV/0!</v>
      </c>
      <c r="AB149" s="96" t="e">
        <f t="shared" si="108"/>
        <v>#DIV/0!</v>
      </c>
    </row>
    <row r="150" spans="1:28" hidden="1" outlineLevel="1" x14ac:dyDescent="0.25">
      <c r="A150" s="18"/>
      <c r="B150" s="38">
        <f t="shared" si="104"/>
        <v>13</v>
      </c>
      <c r="C150" s="54">
        <f t="shared" si="96"/>
        <v>116.73688760501419</v>
      </c>
      <c r="D150" s="33">
        <f>C150*VLOOKUP($A$138,Ταρίφες!$A$6:$G$23,$K$6,FALSE)*(1+$F$3)^(B150-1)</f>
        <v>48445.808356080888</v>
      </c>
      <c r="E150" s="33">
        <f>C150*VLOOKUP($A$138,Ταρίφες!$A$6:$G$23,$K$7,FALSE)*(1+$F$3)^(B150-1)</f>
        <v>34437.381843479183</v>
      </c>
      <c r="F150" s="46">
        <f t="shared" si="92"/>
        <v>-2536.4835891250905</v>
      </c>
      <c r="G150" s="47">
        <f t="shared" si="93"/>
        <v>-1014.5934356500362</v>
      </c>
      <c r="H150" s="47">
        <f t="shared" si="94"/>
        <v>-3551.0770247751266</v>
      </c>
      <c r="I150" s="46">
        <f t="shared" si="95"/>
        <v>-5707.0880755314538</v>
      </c>
      <c r="J150" s="47">
        <f t="shared" si="97"/>
        <v>-10480</v>
      </c>
      <c r="K150" s="47">
        <f t="shared" si="98"/>
        <v>-6540.7072200597877</v>
      </c>
      <c r="L150" s="47">
        <f t="shared" si="99"/>
        <v>-2898.5163267833441</v>
      </c>
      <c r="M150" s="47">
        <f t="shared" si="100"/>
        <v>29095.859010939395</v>
      </c>
      <c r="N150" s="47">
        <f t="shared" si="101"/>
        <v>18729.623391614132</v>
      </c>
      <c r="O150" s="34"/>
      <c r="P150" s="35"/>
      <c r="Q150" s="35"/>
      <c r="R150" s="33"/>
      <c r="S150" s="43"/>
      <c r="T150" s="19"/>
      <c r="U150" s="27">
        <f t="shared" si="102"/>
        <v>29095.859010939395</v>
      </c>
      <c r="V150" s="28">
        <f t="shared" si="103"/>
        <v>18729.623391614132</v>
      </c>
      <c r="W150" s="43"/>
      <c r="X150" s="19"/>
      <c r="Y150" s="42">
        <f t="shared" si="105"/>
        <v>0</v>
      </c>
      <c r="Z150" s="42">
        <f t="shared" si="106"/>
        <v>0</v>
      </c>
      <c r="AA150" s="96" t="e">
        <f t="shared" si="107"/>
        <v>#DIV/0!</v>
      </c>
      <c r="AB150" s="96" t="e">
        <f t="shared" si="108"/>
        <v>#DIV/0!</v>
      </c>
    </row>
    <row r="151" spans="1:28" hidden="1" outlineLevel="1" x14ac:dyDescent="0.25">
      <c r="A151" s="18"/>
      <c r="B151" s="38">
        <f t="shared" si="104"/>
        <v>14</v>
      </c>
      <c r="C151" s="54">
        <f t="shared" si="96"/>
        <v>115.56951872896404</v>
      </c>
      <c r="D151" s="33">
        <f>C151*VLOOKUP($A$138,Ταρίφες!$A$6:$G$23,$K$6,FALSE)*(1+$F$3)^(B151-1)</f>
        <v>47961.350272520074</v>
      </c>
      <c r="E151" s="33">
        <f>C151*VLOOKUP($A$138,Ταρίφες!$A$6:$G$23,$K$7,FALSE)*(1+$F$3)^(B151-1)</f>
        <v>34093.008025044393</v>
      </c>
      <c r="F151" s="46">
        <f t="shared" si="92"/>
        <v>-2587.213260907592</v>
      </c>
      <c r="G151" s="47">
        <f t="shared" si="93"/>
        <v>-1034.8853043630368</v>
      </c>
      <c r="H151" s="47">
        <f t="shared" si="94"/>
        <v>-3622.098565270629</v>
      </c>
      <c r="I151" s="46">
        <f t="shared" si="95"/>
        <v>-5821.2298370420822</v>
      </c>
      <c r="J151" s="47">
        <f t="shared" si="97"/>
        <v>-10480</v>
      </c>
      <c r="K151" s="47">
        <f t="shared" si="98"/>
        <v>-6348.1400592835516</v>
      </c>
      <c r="L151" s="47">
        <f t="shared" si="99"/>
        <v>-2742.3710749398742</v>
      </c>
      <c r="M151" s="47">
        <f t="shared" si="100"/>
        <v>28547.78324565318</v>
      </c>
      <c r="N151" s="47">
        <f t="shared" si="101"/>
        <v>18285.209982521181</v>
      </c>
      <c r="O151" s="34"/>
      <c r="P151" s="35"/>
      <c r="Q151" s="35"/>
      <c r="R151" s="33"/>
      <c r="S151" s="43"/>
      <c r="T151" s="19"/>
      <c r="U151" s="27">
        <f t="shared" si="102"/>
        <v>28547.78324565318</v>
      </c>
      <c r="V151" s="28">
        <f t="shared" si="103"/>
        <v>18285.209982521181</v>
      </c>
      <c r="W151" s="43"/>
      <c r="X151" s="19"/>
      <c r="Y151" s="42">
        <f t="shared" si="105"/>
        <v>0</v>
      </c>
      <c r="Z151" s="42">
        <f t="shared" si="106"/>
        <v>0</v>
      </c>
      <c r="AA151" s="96" t="e">
        <f t="shared" si="107"/>
        <v>#DIV/0!</v>
      </c>
      <c r="AB151" s="96" t="e">
        <f t="shared" si="108"/>
        <v>#DIV/0!</v>
      </c>
    </row>
    <row r="152" spans="1:28" hidden="1" outlineLevel="1" x14ac:dyDescent="0.25">
      <c r="A152" s="18"/>
      <c r="B152" s="38">
        <f t="shared" si="104"/>
        <v>15</v>
      </c>
      <c r="C152" s="54">
        <f t="shared" si="96"/>
        <v>114.4138235416744</v>
      </c>
      <c r="D152" s="33">
        <f>C152*VLOOKUP($A$138,Ταρίφες!$A$6:$G$23,$K$6,FALSE)*(1+$F$3)^(B152-1)</f>
        <v>47481.736769794879</v>
      </c>
      <c r="E152" s="33">
        <f>C152*VLOOKUP($A$138,Ταρίφες!$A$6:$G$23,$K$7,FALSE)*(1+$F$3)^(B152-1)</f>
        <v>33752.077944793949</v>
      </c>
      <c r="F152" s="46">
        <f t="shared" si="92"/>
        <v>-2638.9575261257442</v>
      </c>
      <c r="G152" s="47">
        <f t="shared" si="93"/>
        <v>-1055.5830104502977</v>
      </c>
      <c r="H152" s="47">
        <f t="shared" si="94"/>
        <v>-3694.5405365760421</v>
      </c>
      <c r="I152" s="46">
        <f t="shared" si="95"/>
        <v>-5937.6544337829246</v>
      </c>
      <c r="J152" s="47">
        <f t="shared" si="97"/>
        <v>-10480</v>
      </c>
      <c r="K152" s="47">
        <f t="shared" si="98"/>
        <v>-6155.5003283435663</v>
      </c>
      <c r="L152" s="47">
        <f t="shared" si="99"/>
        <v>-2585.7890338433249</v>
      </c>
      <c r="M152" s="47">
        <f t="shared" si="100"/>
        <v>27999.500934516305</v>
      </c>
      <c r="N152" s="47">
        <f t="shared" si="101"/>
        <v>17839.553404015616</v>
      </c>
      <c r="O152" s="34"/>
      <c r="P152" s="35"/>
      <c r="Q152" s="35"/>
      <c r="R152" s="33"/>
      <c r="S152" s="43"/>
      <c r="T152" s="19"/>
      <c r="U152" s="27">
        <f t="shared" si="102"/>
        <v>27999.500934516305</v>
      </c>
      <c r="V152" s="28">
        <f t="shared" si="103"/>
        <v>17839.553404015616</v>
      </c>
      <c r="W152" s="43"/>
      <c r="X152" s="19"/>
      <c r="Y152" s="42">
        <f t="shared" si="105"/>
        <v>0</v>
      </c>
      <c r="Z152" s="42">
        <f t="shared" si="106"/>
        <v>0</v>
      </c>
      <c r="AA152" s="96" t="e">
        <f t="shared" si="107"/>
        <v>#DIV/0!</v>
      </c>
      <c r="AB152" s="96" t="e">
        <f t="shared" si="108"/>
        <v>#DIV/0!</v>
      </c>
    </row>
    <row r="153" spans="1:28" hidden="1" outlineLevel="1" x14ac:dyDescent="0.25">
      <c r="A153" s="18"/>
      <c r="B153" s="38">
        <f t="shared" si="104"/>
        <v>16</v>
      </c>
      <c r="C153" s="54">
        <f t="shared" si="96"/>
        <v>113.26968530625766</v>
      </c>
      <c r="D153" s="33">
        <f>C153*VLOOKUP($A$138,Ταρίφες!$A$6:$G$23,$K$6,FALSE)*(1+$F$3)^(B153-1)</f>
        <v>47006.91940209693</v>
      </c>
      <c r="E153" s="33">
        <f>C153*VLOOKUP($A$138,Ταρίφες!$A$6:$G$23,$K$7,FALSE)*(1+$F$3)^(B153-1)</f>
        <v>33414.557165346007</v>
      </c>
      <c r="F153" s="46">
        <f t="shared" si="92"/>
        <v>-2691.7366766482583</v>
      </c>
      <c r="G153" s="47">
        <f t="shared" si="93"/>
        <v>-1076.6946706593035</v>
      </c>
      <c r="H153" s="47">
        <f t="shared" si="94"/>
        <v>-3768.4313473075617</v>
      </c>
      <c r="I153" s="46">
        <f t="shared" si="95"/>
        <v>-6056.4075224585813</v>
      </c>
      <c r="J153" s="47">
        <f t="shared" si="97"/>
        <v>-10480</v>
      </c>
      <c r="K153" s="47">
        <f t="shared" si="98"/>
        <v>-5962.7487881060388</v>
      </c>
      <c r="L153" s="47">
        <f t="shared" si="99"/>
        <v>-2428.7346065507991</v>
      </c>
      <c r="M153" s="47">
        <f t="shared" si="100"/>
        <v>27450.90039691719</v>
      </c>
      <c r="N153" s="47">
        <f t="shared" si="101"/>
        <v>17392.552341721504</v>
      </c>
      <c r="O153" s="34"/>
      <c r="P153" s="35"/>
      <c r="Q153" s="35"/>
      <c r="R153" s="33"/>
      <c r="S153" s="43"/>
      <c r="T153" s="19"/>
      <c r="U153" s="27">
        <f t="shared" si="102"/>
        <v>27450.90039691719</v>
      </c>
      <c r="V153" s="28">
        <f t="shared" si="103"/>
        <v>17392.552341721504</v>
      </c>
      <c r="W153" s="43"/>
      <c r="X153" s="19"/>
      <c r="Y153" s="42">
        <f t="shared" si="105"/>
        <v>0</v>
      </c>
      <c r="Z153" s="42">
        <f t="shared" si="106"/>
        <v>0</v>
      </c>
      <c r="AA153" s="96" t="e">
        <f t="shared" si="107"/>
        <v>#DIV/0!</v>
      </c>
      <c r="AB153" s="96" t="e">
        <f t="shared" si="108"/>
        <v>#DIV/0!</v>
      </c>
    </row>
    <row r="154" spans="1:28" hidden="1" outlineLevel="1" x14ac:dyDescent="0.25">
      <c r="A154" s="18"/>
      <c r="B154" s="38">
        <f t="shared" si="104"/>
        <v>17</v>
      </c>
      <c r="C154" s="54">
        <f t="shared" si="96"/>
        <v>112.13698845319507</v>
      </c>
      <c r="D154" s="33">
        <f>C154*VLOOKUP($A$138,Ταρίφες!$A$6:$G$23,$K$6,FALSE)*(1+$F$3)^(B154-1)</f>
        <v>46536.850208075957</v>
      </c>
      <c r="E154" s="33">
        <f>C154*VLOOKUP($A$138,Ταρίφες!$A$6:$G$23,$K$7,FALSE)*(1+$F$3)^(B154-1)</f>
        <v>33080.411593692545</v>
      </c>
      <c r="F154" s="46">
        <f t="shared" si="92"/>
        <v>-2745.5714101812241</v>
      </c>
      <c r="G154" s="47">
        <f t="shared" si="93"/>
        <v>-1098.2285640724897</v>
      </c>
      <c r="H154" s="47">
        <f t="shared" si="94"/>
        <v>-3843.7999742537136</v>
      </c>
      <c r="I154" s="46">
        <f t="shared" si="95"/>
        <v>-6177.5356729077539</v>
      </c>
      <c r="J154" s="47">
        <f t="shared" si="97"/>
        <v>-10480</v>
      </c>
      <c r="K154" s="47">
        <f t="shared" si="98"/>
        <v>-5769.8457925318016</v>
      </c>
      <c r="L154" s="47">
        <f t="shared" si="99"/>
        <v>-2271.1717527921141</v>
      </c>
      <c r="M154" s="47">
        <f t="shared" si="100"/>
        <v>26901.868794128975</v>
      </c>
      <c r="N154" s="47">
        <f t="shared" si="101"/>
        <v>16944.104219485249</v>
      </c>
      <c r="O154" s="34"/>
      <c r="P154" s="35"/>
      <c r="Q154" s="35"/>
      <c r="R154" s="33"/>
      <c r="S154" s="43"/>
      <c r="T154" s="19"/>
      <c r="U154" s="27">
        <f t="shared" si="102"/>
        <v>26901.868794128975</v>
      </c>
      <c r="V154" s="28">
        <f t="shared" si="103"/>
        <v>16944.104219485249</v>
      </c>
      <c r="W154" s="43"/>
      <c r="X154" s="19"/>
      <c r="Y154" s="42">
        <f t="shared" si="105"/>
        <v>0</v>
      </c>
      <c r="Z154" s="42">
        <f t="shared" si="106"/>
        <v>0</v>
      </c>
      <c r="AA154" s="96" t="e">
        <f t="shared" si="107"/>
        <v>#DIV/0!</v>
      </c>
      <c r="AB154" s="96" t="e">
        <f t="shared" si="108"/>
        <v>#DIV/0!</v>
      </c>
    </row>
    <row r="155" spans="1:28" hidden="1" outlineLevel="1" x14ac:dyDescent="0.25">
      <c r="A155" s="18"/>
      <c r="B155" s="38">
        <f t="shared" si="104"/>
        <v>18</v>
      </c>
      <c r="C155" s="54">
        <f t="shared" si="96"/>
        <v>111.01561856866311</v>
      </c>
      <c r="D155" s="33">
        <f>C155*VLOOKUP($A$138,Ταρίφες!$A$6:$G$23,$K$6,FALSE)*(1+$F$3)^(B155-1)</f>
        <v>46071.481705995189</v>
      </c>
      <c r="E155" s="33">
        <f>C155*VLOOKUP($A$138,Ταρίφες!$A$6:$G$23,$K$7,FALSE)*(1+$F$3)^(B155-1)</f>
        <v>32749.60747775562</v>
      </c>
      <c r="F155" s="46">
        <f t="shared" si="92"/>
        <v>-2800.4828383848489</v>
      </c>
      <c r="G155" s="47">
        <f t="shared" si="93"/>
        <v>-1120.1931353539396</v>
      </c>
      <c r="H155" s="47">
        <f t="shared" si="94"/>
        <v>-3920.6759737387883</v>
      </c>
      <c r="I155" s="46">
        <f t="shared" si="95"/>
        <v>-6301.0863863659097</v>
      </c>
      <c r="J155" s="47">
        <f t="shared" si="97"/>
        <v>-10480</v>
      </c>
      <c r="K155" s="47">
        <f t="shared" si="98"/>
        <v>-5576.7512767594435</v>
      </c>
      <c r="L155" s="47">
        <f t="shared" si="99"/>
        <v>-2113.063977417155</v>
      </c>
      <c r="M155" s="47">
        <f t="shared" si="100"/>
        <v>26352.292095392258</v>
      </c>
      <c r="N155" s="47">
        <f t="shared" si="101"/>
        <v>16494.105166494981</v>
      </c>
      <c r="O155" s="34"/>
      <c r="P155" s="35"/>
      <c r="Q155" s="35"/>
      <c r="R155" s="33"/>
      <c r="S155" s="43"/>
      <c r="T155" s="19"/>
      <c r="U155" s="27">
        <f t="shared" si="102"/>
        <v>26352.292095392258</v>
      </c>
      <c r="V155" s="28">
        <f t="shared" si="103"/>
        <v>16494.105166494981</v>
      </c>
      <c r="W155" s="43"/>
      <c r="X155" s="19"/>
      <c r="Y155" s="42">
        <f t="shared" si="105"/>
        <v>0</v>
      </c>
      <c r="Z155" s="42">
        <f t="shared" si="106"/>
        <v>0</v>
      </c>
      <c r="AA155" s="96" t="e">
        <f t="shared" si="107"/>
        <v>#DIV/0!</v>
      </c>
      <c r="AB155" s="96" t="e">
        <f t="shared" si="108"/>
        <v>#DIV/0!</v>
      </c>
    </row>
    <row r="156" spans="1:28" hidden="1" outlineLevel="1" x14ac:dyDescent="0.25">
      <c r="A156" s="18"/>
      <c r="B156" s="38">
        <f t="shared" si="104"/>
        <v>19</v>
      </c>
      <c r="C156" s="54">
        <f t="shared" si="96"/>
        <v>109.90546238297648</v>
      </c>
      <c r="D156" s="33">
        <f>C156*VLOOKUP($A$138,Ταρίφες!$A$6:$G$23,$K$6,FALSE)*(1+$F$3)^(B156-1)</f>
        <v>45610.766888935243</v>
      </c>
      <c r="E156" s="33">
        <f>C156*VLOOKUP($A$138,Ταρίφες!$A$6:$G$23,$K$7,FALSE)*(1+$F$3)^(B156-1)</f>
        <v>32422.111402978062</v>
      </c>
      <c r="F156" s="46">
        <f t="shared" si="92"/>
        <v>-2856.4924951525454</v>
      </c>
      <c r="G156" s="47">
        <f t="shared" si="93"/>
        <v>-1142.5969980610182</v>
      </c>
      <c r="H156" s="47">
        <f t="shared" si="94"/>
        <v>-3999.0894932135634</v>
      </c>
      <c r="I156" s="46">
        <f t="shared" si="95"/>
        <v>-6427.1081140932274</v>
      </c>
      <c r="J156" s="47">
        <f t="shared" si="97"/>
        <v>-10480</v>
      </c>
      <c r="K156" s="47">
        <f t="shared" si="98"/>
        <v>-5383.4247449878703</v>
      </c>
      <c r="L156" s="47">
        <f t="shared" si="99"/>
        <v>-1954.3743186390036</v>
      </c>
      <c r="M156" s="47">
        <f t="shared" si="100"/>
        <v>25802.055043427015</v>
      </c>
      <c r="N156" s="47">
        <f t="shared" si="101"/>
        <v>16042.449983818706</v>
      </c>
      <c r="O156" s="34"/>
      <c r="P156" s="35"/>
      <c r="Q156" s="35"/>
      <c r="R156" s="33"/>
      <c r="S156" s="43"/>
      <c r="T156" s="19"/>
      <c r="U156" s="27">
        <f t="shared" si="102"/>
        <v>25802.055043427015</v>
      </c>
      <c r="V156" s="28">
        <f t="shared" si="103"/>
        <v>16042.449983818706</v>
      </c>
      <c r="W156" s="43"/>
      <c r="X156" s="19"/>
      <c r="Y156" s="42">
        <f t="shared" si="105"/>
        <v>0</v>
      </c>
      <c r="Z156" s="42">
        <f t="shared" si="106"/>
        <v>0</v>
      </c>
      <c r="AA156" s="96" t="e">
        <f t="shared" si="107"/>
        <v>#DIV/0!</v>
      </c>
      <c r="AB156" s="96" t="e">
        <f t="shared" si="108"/>
        <v>#DIV/0!</v>
      </c>
    </row>
    <row r="157" spans="1:28" hidden="1" outlineLevel="1" x14ac:dyDescent="0.25">
      <c r="A157" s="18"/>
      <c r="B157" s="38">
        <f>B156+1</f>
        <v>20</v>
      </c>
      <c r="C157" s="54">
        <f>C156*(1-$F$2)</f>
        <v>108.80640775914671</v>
      </c>
      <c r="D157" s="33">
        <f>C157*VLOOKUP($A$138,Ταρίφες!$A$6:$G$23,$K$6,FALSE)*(1+$F$3)^(B157-1)</f>
        <v>45154.659220045884</v>
      </c>
      <c r="E157" s="33">
        <f>C157*VLOOKUP($A$138,Ταρίφες!$A$6:$G$23,$K$7,FALSE)*(1+$F$3)^(B157-1)</f>
        <v>32097.890288948278</v>
      </c>
      <c r="F157" s="46">
        <f t="shared" si="92"/>
        <v>-2913.6223450555963</v>
      </c>
      <c r="G157" s="47">
        <f t="shared" si="93"/>
        <v>-1165.4489380222385</v>
      </c>
      <c r="H157" s="47">
        <f>-$K$4*(1+$F$4)^(B157-$B$12)</f>
        <v>-4079.0712830778348</v>
      </c>
      <c r="I157" s="46">
        <f>-(4500*(1+$F$4)^(B157-$B$12))</f>
        <v>-6555.6502763750914</v>
      </c>
      <c r="J157" s="47">
        <f t="shared" si="97"/>
        <v>-10480</v>
      </c>
      <c r="K157" s="47">
        <f>-(D157+SUM(F157:J157))*$F$5</f>
        <v>-5189.8252581539318</v>
      </c>
      <c r="L157" s="47">
        <f>-(E157+SUM(F157:J157))*$F$5</f>
        <v>-1795.0653360685542</v>
      </c>
      <c r="M157" s="47">
        <f>D157+SUM(F157:I157)+K157</f>
        <v>25251.041119361191</v>
      </c>
      <c r="N157" s="47">
        <f>E157+SUM(F157:I157)+L157</f>
        <v>15589.032110348962</v>
      </c>
      <c r="O157" s="34"/>
      <c r="P157" s="35"/>
      <c r="Q157" s="35"/>
      <c r="R157" s="33"/>
      <c r="S157" s="43"/>
      <c r="T157" s="19"/>
      <c r="U157" s="27">
        <f>M157</f>
        <v>25251.041119361191</v>
      </c>
      <c r="V157" s="28">
        <f>N157</f>
        <v>15589.032110348962</v>
      </c>
      <c r="W157" s="43"/>
      <c r="X157" s="19"/>
      <c r="Y157" s="42">
        <f t="shared" si="105"/>
        <v>0</v>
      </c>
      <c r="Z157" s="42">
        <f t="shared" si="106"/>
        <v>0</v>
      </c>
      <c r="AA157" s="96" t="e">
        <f t="shared" si="107"/>
        <v>#DIV/0!</v>
      </c>
      <c r="AB157" s="96" t="e">
        <f t="shared" si="108"/>
        <v>#DIV/0!</v>
      </c>
    </row>
    <row r="158" spans="1:28" s="40" customFormat="1" hidden="1" outlineLevel="1" x14ac:dyDescent="0.25">
      <c r="O158" s="17"/>
      <c r="P158" s="25"/>
      <c r="Q158" s="25"/>
      <c r="R158" s="22"/>
      <c r="S158" s="52"/>
      <c r="T158" s="44"/>
      <c r="U158" s="74">
        <f>O159</f>
        <v>-225250</v>
      </c>
      <c r="V158" s="74">
        <f>R159</f>
        <v>-155925.38520097733</v>
      </c>
      <c r="W158" s="52"/>
      <c r="X158" s="44"/>
      <c r="Y158" s="42">
        <f t="shared" si="105"/>
        <v>0</v>
      </c>
      <c r="Z158" s="42">
        <f t="shared" si="106"/>
        <v>0</v>
      </c>
      <c r="AA158" s="96" t="e">
        <f t="shared" si="107"/>
        <v>#DIV/0!</v>
      </c>
      <c r="AB158" s="96" t="e">
        <f t="shared" si="108"/>
        <v>#DIV/0!</v>
      </c>
    </row>
    <row r="159" spans="1:28" collapsed="1" x14ac:dyDescent="0.25">
      <c r="A159" s="32" t="str">
        <f>Ταρίφες!A17</f>
        <v>Δ Τριμ. 2011</v>
      </c>
      <c r="B159" s="38">
        <f>1</f>
        <v>1</v>
      </c>
      <c r="C159" s="54">
        <f>$F$8*$K$2/1000</f>
        <v>131.69999999999999</v>
      </c>
      <c r="D159" s="33">
        <f>C159*VLOOKUP($A$159,Ταρίφες!$A$6:$G$23,$K$6,FALSE)*(1+$F$3)^(B159-1)</f>
        <v>51362.999999999993</v>
      </c>
      <c r="E159" s="33">
        <f>C159*VLOOKUP($A$159,Ταρίφες!$A$6:$G$23,$K$7,FALSE)*(1+$F$3)^(B159-1)</f>
        <v>36876</v>
      </c>
      <c r="F159" s="46">
        <f t="shared" ref="F159:F178" si="109">-($K$5*(1+$F$4)^(B159-$B$12))</f>
        <v>-2000</v>
      </c>
      <c r="G159" s="47">
        <f t="shared" ref="G159:G178" si="110">-$K$2*10*(1+$F$4)^(B159-$B$12)</f>
        <v>-800</v>
      </c>
      <c r="H159" s="47">
        <f t="shared" ref="H159:H177" si="111">-$K$4*(1+$F$4)^(B159-$B$12)</f>
        <v>-2800</v>
      </c>
      <c r="I159" s="46">
        <f t="shared" ref="I159:I177" si="112">-(4500*(1+$F$4)^(B159-$B$12))</f>
        <v>-4500</v>
      </c>
      <c r="J159" s="47">
        <f>$O$159*4%</f>
        <v>-9010</v>
      </c>
      <c r="K159" s="47">
        <f>-(D159+SUM(F159:J159))*$F$5</f>
        <v>-8385.7799999999988</v>
      </c>
      <c r="L159" s="47">
        <f>-(E159+SUM(F159:J159))*$F$5</f>
        <v>-4619.16</v>
      </c>
      <c r="M159" s="47">
        <f>D159+SUM(F159:I159)+K159</f>
        <v>32877.219999999994</v>
      </c>
      <c r="N159" s="47">
        <f>E159+SUM(F159:I159)+L159</f>
        <v>22156.84</v>
      </c>
      <c r="O159" s="35">
        <f>-VLOOKUP(A159,'Κόστος Κατασκευής'!$A$4:$Q$17,$K$8,FALSE)</f>
        <v>-225250</v>
      </c>
      <c r="P159" s="36">
        <f t="shared" ref="P159:P178" si="113">-O159*0.4</f>
        <v>90100</v>
      </c>
      <c r="Q159" s="36">
        <f>Q138*15/16</f>
        <v>-20775.385200977329</v>
      </c>
      <c r="R159" s="37">
        <f>SUM(O159:Q159)</f>
        <v>-155925.38520097733</v>
      </c>
      <c r="S159" s="42">
        <f>IRR(U158:U178)</f>
        <v>0.11741937966013993</v>
      </c>
      <c r="T159" s="42">
        <f>IRR(V158:V178)</f>
        <v>0.10927676793103336</v>
      </c>
      <c r="U159" s="27">
        <f>M159</f>
        <v>32877.219999999994</v>
      </c>
      <c r="V159" s="28">
        <f>N159</f>
        <v>22156.84</v>
      </c>
      <c r="W159" s="42">
        <f>'IRR ΔΣ Ισχύον'!S159</f>
        <v>0.17486604568760522</v>
      </c>
      <c r="X159" s="42">
        <f>'IRR ΔΣ Ισχύον'!T159</f>
        <v>0.16128974795285345</v>
      </c>
      <c r="Y159" s="42">
        <f t="shared" si="105"/>
        <v>-5.7446666027465287E-2</v>
      </c>
      <c r="Z159" s="42">
        <f t="shared" si="106"/>
        <v>-5.2012980021820088E-2</v>
      </c>
      <c r="AA159" s="96">
        <f t="shared" si="107"/>
        <v>0.4</v>
      </c>
      <c r="AB159" s="96">
        <f t="shared" si="108"/>
        <v>0.30776743528977879</v>
      </c>
    </row>
    <row r="160" spans="1:28" hidden="1" outlineLevel="1" x14ac:dyDescent="0.25">
      <c r="A160" s="18"/>
      <c r="B160" s="38">
        <f>B159+1</f>
        <v>2</v>
      </c>
      <c r="C160" s="54">
        <f t="shared" ref="C160:C177" si="114">C159*(1-$F$2)</f>
        <v>130.38299999999998</v>
      </c>
      <c r="D160" s="33">
        <f>C160*VLOOKUP($A$159,Ταρίφες!$A$6:$G$23,$K$6,FALSE)*(1+$F$3)^(B160-1)</f>
        <v>50849.369999999995</v>
      </c>
      <c r="E160" s="33">
        <f>C160*VLOOKUP($A$159,Ταρίφες!$A$6:$G$23,$K$7,FALSE)*(1+$F$3)^(B160-1)</f>
        <v>36507.24</v>
      </c>
      <c r="F160" s="46">
        <f t="shared" si="109"/>
        <v>-2040</v>
      </c>
      <c r="G160" s="47">
        <f t="shared" si="110"/>
        <v>-816</v>
      </c>
      <c r="H160" s="47">
        <f t="shared" si="111"/>
        <v>-2856</v>
      </c>
      <c r="I160" s="46">
        <f t="shared" si="112"/>
        <v>-4590</v>
      </c>
      <c r="J160" s="47">
        <f t="shared" ref="J160:J178" si="115">$O$159*4%</f>
        <v>-9010</v>
      </c>
      <c r="K160" s="47">
        <f t="shared" ref="K160:K177" si="116">-(D160+SUM(F160:J160))*$F$5</f>
        <v>-8199.7161999999989</v>
      </c>
      <c r="L160" s="47">
        <f t="shared" ref="L160:L177" si="117">-(E160+SUM(F160:J160))*$F$5</f>
        <v>-4470.7623999999996</v>
      </c>
      <c r="M160" s="47">
        <f t="shared" ref="M160:M177" si="118">D160+SUM(F160:I160)+K160</f>
        <v>32347.653799999996</v>
      </c>
      <c r="N160" s="47">
        <f t="shared" ref="N160:N177" si="119">E160+SUM(F160:I160)+L160</f>
        <v>21734.477599999998</v>
      </c>
      <c r="O160" s="34"/>
      <c r="P160" s="36">
        <f t="shared" si="113"/>
        <v>0</v>
      </c>
      <c r="Q160" s="35"/>
      <c r="R160" s="33"/>
      <c r="S160" s="43"/>
      <c r="T160" s="19"/>
      <c r="U160" s="27">
        <f t="shared" ref="U160:U177" si="120">M160</f>
        <v>32347.653799999996</v>
      </c>
      <c r="V160" s="28">
        <f t="shared" ref="V160:V177" si="121">N160</f>
        <v>21734.477599999998</v>
      </c>
      <c r="W160" s="43"/>
      <c r="X160" s="19"/>
      <c r="Y160" s="42">
        <f t="shared" si="105"/>
        <v>0</v>
      </c>
      <c r="Z160" s="42">
        <f t="shared" si="106"/>
        <v>0</v>
      </c>
      <c r="AA160" s="96" t="e">
        <f t="shared" si="107"/>
        <v>#DIV/0!</v>
      </c>
      <c r="AB160" s="96" t="e">
        <f t="shared" si="108"/>
        <v>#DIV/0!</v>
      </c>
    </row>
    <row r="161" spans="1:28" hidden="1" outlineLevel="1" x14ac:dyDescent="0.25">
      <c r="A161" s="18"/>
      <c r="B161" s="38">
        <f t="shared" ref="B161:B177" si="122">B160+1</f>
        <v>3</v>
      </c>
      <c r="C161" s="54">
        <f t="shared" si="114"/>
        <v>129.07916999999998</v>
      </c>
      <c r="D161" s="33">
        <f>C161*VLOOKUP($A$159,Ταρίφες!$A$6:$G$23,$K$6,FALSE)*(1+$F$3)^(B161-1)</f>
        <v>50340.876299999989</v>
      </c>
      <c r="E161" s="33">
        <f>C161*VLOOKUP($A$159,Ταρίφες!$A$6:$G$23,$K$7,FALSE)*(1+$F$3)^(B161-1)</f>
        <v>36142.167599999993</v>
      </c>
      <c r="F161" s="46">
        <f t="shared" si="109"/>
        <v>-2080.8000000000002</v>
      </c>
      <c r="G161" s="47">
        <f t="shared" si="110"/>
        <v>-832.31999999999994</v>
      </c>
      <c r="H161" s="47">
        <f t="shared" si="111"/>
        <v>-2913.12</v>
      </c>
      <c r="I161" s="46">
        <f t="shared" si="112"/>
        <v>-4681.8</v>
      </c>
      <c r="J161" s="47">
        <f t="shared" si="115"/>
        <v>-9010</v>
      </c>
      <c r="K161" s="47">
        <f t="shared" si="116"/>
        <v>-8013.9374379999972</v>
      </c>
      <c r="L161" s="47">
        <f t="shared" si="117"/>
        <v>-4322.2731759999979</v>
      </c>
      <c r="M161" s="47">
        <f t="shared" si="118"/>
        <v>31818.898861999991</v>
      </c>
      <c r="N161" s="47">
        <f t="shared" si="119"/>
        <v>21311.854423999994</v>
      </c>
      <c r="O161" s="34"/>
      <c r="P161" s="36">
        <f t="shared" si="113"/>
        <v>0</v>
      </c>
      <c r="Q161" s="35"/>
      <c r="R161" s="33"/>
      <c r="S161" s="43"/>
      <c r="T161" s="19"/>
      <c r="U161" s="27">
        <f t="shared" si="120"/>
        <v>31818.898861999991</v>
      </c>
      <c r="V161" s="28">
        <f t="shared" si="121"/>
        <v>21311.854423999994</v>
      </c>
      <c r="W161" s="43"/>
      <c r="X161" s="19"/>
      <c r="Y161" s="42">
        <f t="shared" si="105"/>
        <v>0</v>
      </c>
      <c r="Z161" s="42">
        <f t="shared" si="106"/>
        <v>0</v>
      </c>
      <c r="AA161" s="96" t="e">
        <f t="shared" si="107"/>
        <v>#DIV/0!</v>
      </c>
      <c r="AB161" s="96" t="e">
        <f t="shared" si="108"/>
        <v>#DIV/0!</v>
      </c>
    </row>
    <row r="162" spans="1:28" hidden="1" outlineLevel="1" x14ac:dyDescent="0.25">
      <c r="A162" s="18"/>
      <c r="B162" s="38">
        <f t="shared" si="122"/>
        <v>4</v>
      </c>
      <c r="C162" s="54">
        <f t="shared" si="114"/>
        <v>127.78837829999998</v>
      </c>
      <c r="D162" s="33">
        <f>C162*VLOOKUP($A$159,Ταρίφες!$A$6:$G$23,$K$6,FALSE)*(1+$F$3)^(B162-1)</f>
        <v>49837.46753699999</v>
      </c>
      <c r="E162" s="33">
        <f>C162*VLOOKUP($A$159,Ταρίφες!$A$6:$G$23,$K$7,FALSE)*(1+$F$3)^(B162-1)</f>
        <v>35780.745923999995</v>
      </c>
      <c r="F162" s="46">
        <f t="shared" si="109"/>
        <v>-2122.4159999999997</v>
      </c>
      <c r="G162" s="47">
        <f t="shared" si="110"/>
        <v>-848.96639999999991</v>
      </c>
      <c r="H162" s="47">
        <f t="shared" si="111"/>
        <v>-2971.3824</v>
      </c>
      <c r="I162" s="46">
        <f t="shared" si="112"/>
        <v>-4775.4359999999997</v>
      </c>
      <c r="J162" s="47">
        <f t="shared" si="115"/>
        <v>-9010</v>
      </c>
      <c r="K162" s="47">
        <f t="shared" si="116"/>
        <v>-7828.4093516199982</v>
      </c>
      <c r="L162" s="47">
        <f t="shared" si="117"/>
        <v>-4173.6617322399989</v>
      </c>
      <c r="M162" s="47">
        <f t="shared" si="118"/>
        <v>31290.857385379994</v>
      </c>
      <c r="N162" s="47">
        <f t="shared" si="119"/>
        <v>20888.883391759999</v>
      </c>
      <c r="O162" s="34"/>
      <c r="P162" s="36">
        <f t="shared" si="113"/>
        <v>0</v>
      </c>
      <c r="Q162" s="35"/>
      <c r="R162" s="33"/>
      <c r="S162" s="43"/>
      <c r="T162" s="19"/>
      <c r="U162" s="27">
        <f t="shared" si="120"/>
        <v>31290.857385379994</v>
      </c>
      <c r="V162" s="28">
        <f t="shared" si="121"/>
        <v>20888.883391759999</v>
      </c>
      <c r="W162" s="43"/>
      <c r="X162" s="19"/>
      <c r="Y162" s="42">
        <f t="shared" si="105"/>
        <v>0</v>
      </c>
      <c r="Z162" s="42">
        <f t="shared" si="106"/>
        <v>0</v>
      </c>
      <c r="AA162" s="96" t="e">
        <f t="shared" si="107"/>
        <v>#DIV/0!</v>
      </c>
      <c r="AB162" s="96" t="e">
        <f t="shared" si="108"/>
        <v>#DIV/0!</v>
      </c>
    </row>
    <row r="163" spans="1:28" hidden="1" outlineLevel="1" x14ac:dyDescent="0.25">
      <c r="A163" s="18"/>
      <c r="B163" s="38">
        <f t="shared" si="122"/>
        <v>5</v>
      </c>
      <c r="C163" s="54">
        <f t="shared" si="114"/>
        <v>126.51049451699997</v>
      </c>
      <c r="D163" s="33">
        <f>C163*VLOOKUP($A$159,Ταρίφες!$A$6:$G$23,$K$6,FALSE)*(1+$F$3)^(B163-1)</f>
        <v>49339.092861629986</v>
      </c>
      <c r="E163" s="33">
        <f>C163*VLOOKUP($A$159,Ταρίφες!$A$6:$G$23,$K$7,FALSE)*(1+$F$3)^(B163-1)</f>
        <v>35422.938464759995</v>
      </c>
      <c r="F163" s="46">
        <f t="shared" si="109"/>
        <v>-2164.8643200000001</v>
      </c>
      <c r="G163" s="47">
        <f t="shared" si="110"/>
        <v>-865.94572800000003</v>
      </c>
      <c r="H163" s="47">
        <f t="shared" si="111"/>
        <v>-3030.8100479999998</v>
      </c>
      <c r="I163" s="46">
        <f t="shared" si="112"/>
        <v>-4870.9447199999995</v>
      </c>
      <c r="J163" s="47">
        <f t="shared" si="115"/>
        <v>-9010</v>
      </c>
      <c r="K163" s="47">
        <f t="shared" si="116"/>
        <v>-7643.0972918637972</v>
      </c>
      <c r="L163" s="47">
        <f t="shared" si="117"/>
        <v>-4024.897148677599</v>
      </c>
      <c r="M163" s="47">
        <f t="shared" si="118"/>
        <v>30763.430753766192</v>
      </c>
      <c r="N163" s="47">
        <f t="shared" si="119"/>
        <v>20465.476500082397</v>
      </c>
      <c r="O163" s="34"/>
      <c r="P163" s="36">
        <f t="shared" si="113"/>
        <v>0</v>
      </c>
      <c r="Q163" s="35"/>
      <c r="R163" s="33"/>
      <c r="S163" s="43"/>
      <c r="T163" s="19"/>
      <c r="U163" s="27">
        <f t="shared" si="120"/>
        <v>30763.430753766192</v>
      </c>
      <c r="V163" s="28">
        <f t="shared" si="121"/>
        <v>20465.476500082397</v>
      </c>
      <c r="W163" s="43"/>
      <c r="X163" s="19"/>
      <c r="Y163" s="42">
        <f t="shared" si="105"/>
        <v>0</v>
      </c>
      <c r="Z163" s="42">
        <f t="shared" si="106"/>
        <v>0</v>
      </c>
      <c r="AA163" s="96" t="e">
        <f t="shared" si="107"/>
        <v>#DIV/0!</v>
      </c>
      <c r="AB163" s="96" t="e">
        <f t="shared" si="108"/>
        <v>#DIV/0!</v>
      </c>
    </row>
    <row r="164" spans="1:28" hidden="1" outlineLevel="1" x14ac:dyDescent="0.25">
      <c r="A164" s="18"/>
      <c r="B164" s="38">
        <f t="shared" si="122"/>
        <v>6</v>
      </c>
      <c r="C164" s="54">
        <f t="shared" si="114"/>
        <v>125.24538957182997</v>
      </c>
      <c r="D164" s="33">
        <f>C164*VLOOKUP($A$159,Ταρίφες!$A$6:$G$23,$K$6,FALSE)*(1+$F$3)^(B164-1)</f>
        <v>48845.70193301369</v>
      </c>
      <c r="E164" s="33">
        <f>C164*VLOOKUP($A$159,Ταρίφες!$A$6:$G$23,$K$7,FALSE)*(1+$F$3)^(B164-1)</f>
        <v>35068.709080112392</v>
      </c>
      <c r="F164" s="46">
        <f t="shared" si="109"/>
        <v>-2208.1616064</v>
      </c>
      <c r="G164" s="47">
        <f t="shared" si="110"/>
        <v>-883.26464255999997</v>
      </c>
      <c r="H164" s="47">
        <f t="shared" si="111"/>
        <v>-3091.4262489600001</v>
      </c>
      <c r="I164" s="46">
        <f t="shared" si="112"/>
        <v>-4968.3636144000002</v>
      </c>
      <c r="J164" s="47">
        <f t="shared" si="115"/>
        <v>-9010</v>
      </c>
      <c r="K164" s="47">
        <f t="shared" si="116"/>
        <v>-7457.9663133803597</v>
      </c>
      <c r="L164" s="47">
        <f t="shared" si="117"/>
        <v>-3875.9481716260225</v>
      </c>
      <c r="M164" s="47">
        <f t="shared" si="118"/>
        <v>30236.519507313333</v>
      </c>
      <c r="N164" s="47">
        <f t="shared" si="119"/>
        <v>20041.54479616637</v>
      </c>
      <c r="O164" s="34"/>
      <c r="P164" s="36">
        <f t="shared" si="113"/>
        <v>0</v>
      </c>
      <c r="Q164" s="35"/>
      <c r="R164" s="33"/>
      <c r="S164" s="43"/>
      <c r="T164" s="19"/>
      <c r="U164" s="27">
        <f t="shared" si="120"/>
        <v>30236.519507313333</v>
      </c>
      <c r="V164" s="28">
        <f t="shared" si="121"/>
        <v>20041.54479616637</v>
      </c>
      <c r="W164" s="43"/>
      <c r="X164" s="19"/>
      <c r="Y164" s="42">
        <f t="shared" si="105"/>
        <v>0</v>
      </c>
      <c r="Z164" s="42">
        <f t="shared" si="106"/>
        <v>0</v>
      </c>
      <c r="AA164" s="96" t="e">
        <f t="shared" si="107"/>
        <v>#DIV/0!</v>
      </c>
      <c r="AB164" s="96" t="e">
        <f t="shared" si="108"/>
        <v>#DIV/0!</v>
      </c>
    </row>
    <row r="165" spans="1:28" hidden="1" outlineLevel="1" x14ac:dyDescent="0.25">
      <c r="A165" s="18"/>
      <c r="B165" s="38">
        <f t="shared" si="122"/>
        <v>7</v>
      </c>
      <c r="C165" s="54">
        <f t="shared" si="114"/>
        <v>123.99293567611167</v>
      </c>
      <c r="D165" s="33">
        <f>C165*VLOOKUP($A$159,Ταρίφες!$A$6:$G$23,$K$6,FALSE)*(1+$F$3)^(B165-1)</f>
        <v>48357.244913683549</v>
      </c>
      <c r="E165" s="33">
        <f>C165*VLOOKUP($A$159,Ταρίφες!$A$6:$G$23,$K$7,FALSE)*(1+$F$3)^(B165-1)</f>
        <v>34718.021989311266</v>
      </c>
      <c r="F165" s="46">
        <f t="shared" si="109"/>
        <v>-2252.3248385280003</v>
      </c>
      <c r="G165" s="47">
        <f t="shared" si="110"/>
        <v>-900.92993541120006</v>
      </c>
      <c r="H165" s="47">
        <f t="shared" si="111"/>
        <v>-3153.2547739392003</v>
      </c>
      <c r="I165" s="46">
        <f t="shared" si="112"/>
        <v>-5067.7308866880003</v>
      </c>
      <c r="J165" s="47">
        <f t="shared" si="115"/>
        <v>-9010</v>
      </c>
      <c r="K165" s="47">
        <f t="shared" si="116"/>
        <v>-7272.9811645704594</v>
      </c>
      <c r="L165" s="47">
        <f t="shared" si="117"/>
        <v>-3726.7832042336654</v>
      </c>
      <c r="M165" s="47">
        <f t="shared" si="118"/>
        <v>29710.023314546692</v>
      </c>
      <c r="N165" s="47">
        <f t="shared" si="119"/>
        <v>19616.9983505112</v>
      </c>
      <c r="O165" s="34"/>
      <c r="P165" s="36">
        <f t="shared" si="113"/>
        <v>0</v>
      </c>
      <c r="Q165" s="35"/>
      <c r="R165" s="33"/>
      <c r="S165" s="43"/>
      <c r="T165" s="19"/>
      <c r="U165" s="27">
        <f t="shared" si="120"/>
        <v>29710.023314546692</v>
      </c>
      <c r="V165" s="28">
        <f t="shared" si="121"/>
        <v>19616.9983505112</v>
      </c>
      <c r="W165" s="43"/>
      <c r="X165" s="19"/>
      <c r="Y165" s="42">
        <f t="shared" si="105"/>
        <v>0</v>
      </c>
      <c r="Z165" s="42">
        <f t="shared" si="106"/>
        <v>0</v>
      </c>
      <c r="AA165" s="96" t="e">
        <f t="shared" si="107"/>
        <v>#DIV/0!</v>
      </c>
      <c r="AB165" s="96" t="e">
        <f t="shared" si="108"/>
        <v>#DIV/0!</v>
      </c>
    </row>
    <row r="166" spans="1:28" hidden="1" outlineLevel="1" x14ac:dyDescent="0.25">
      <c r="A166" s="18"/>
      <c r="B166" s="38">
        <f t="shared" si="122"/>
        <v>8</v>
      </c>
      <c r="C166" s="54">
        <f t="shared" si="114"/>
        <v>122.75300631935055</v>
      </c>
      <c r="D166" s="33">
        <f>C166*VLOOKUP($A$159,Ταρίφες!$A$6:$G$23,$K$6,FALSE)*(1+$F$3)^(B166-1)</f>
        <v>47873.672464546711</v>
      </c>
      <c r="E166" s="33">
        <f>C166*VLOOKUP($A$159,Ταρίφες!$A$6:$G$23,$K$7,FALSE)*(1+$F$3)^(B166-1)</f>
        <v>34370.841769418155</v>
      </c>
      <c r="F166" s="46">
        <f t="shared" si="109"/>
        <v>-2297.3713352985596</v>
      </c>
      <c r="G166" s="47">
        <f t="shared" si="110"/>
        <v>-918.94853411942381</v>
      </c>
      <c r="H166" s="47">
        <f t="shared" si="111"/>
        <v>-3216.3198694179837</v>
      </c>
      <c r="I166" s="46">
        <f t="shared" si="112"/>
        <v>-5169.0855044217587</v>
      </c>
      <c r="J166" s="47">
        <f t="shared" si="115"/>
        <v>-9010</v>
      </c>
      <c r="K166" s="47">
        <f t="shared" si="116"/>
        <v>-7088.1062775351365</v>
      </c>
      <c r="L166" s="47">
        <f t="shared" si="117"/>
        <v>-3577.3702968017119</v>
      </c>
      <c r="M166" s="47">
        <f t="shared" si="118"/>
        <v>29183.840943753843</v>
      </c>
      <c r="N166" s="47">
        <f t="shared" si="119"/>
        <v>19191.746229358716</v>
      </c>
      <c r="O166" s="34"/>
      <c r="P166" s="36">
        <f t="shared" si="113"/>
        <v>0</v>
      </c>
      <c r="Q166" s="35"/>
      <c r="R166" s="33"/>
      <c r="S166" s="43"/>
      <c r="T166" s="19"/>
      <c r="U166" s="27">
        <f t="shared" si="120"/>
        <v>29183.840943753843</v>
      </c>
      <c r="V166" s="28">
        <f t="shared" si="121"/>
        <v>19191.746229358716</v>
      </c>
      <c r="W166" s="43"/>
      <c r="X166" s="19"/>
      <c r="Y166" s="42">
        <f t="shared" si="105"/>
        <v>0</v>
      </c>
      <c r="Z166" s="42">
        <f t="shared" si="106"/>
        <v>0</v>
      </c>
      <c r="AA166" s="96" t="e">
        <f t="shared" si="107"/>
        <v>#DIV/0!</v>
      </c>
      <c r="AB166" s="96" t="e">
        <f t="shared" si="108"/>
        <v>#DIV/0!</v>
      </c>
    </row>
    <row r="167" spans="1:28" hidden="1" outlineLevel="1" x14ac:dyDescent="0.25">
      <c r="A167" s="18"/>
      <c r="B167" s="38">
        <f t="shared" si="122"/>
        <v>9</v>
      </c>
      <c r="C167" s="54">
        <f t="shared" si="114"/>
        <v>121.52547625615703</v>
      </c>
      <c r="D167" s="33">
        <f>C167*VLOOKUP($A$159,Ταρίφες!$A$6:$G$23,$K$6,FALSE)*(1+$F$3)^(B167-1)</f>
        <v>47394.935739901244</v>
      </c>
      <c r="E167" s="33">
        <f>C167*VLOOKUP($A$159,Ταρίφες!$A$6:$G$23,$K$7,FALSE)*(1+$F$3)^(B167-1)</f>
        <v>34027.133351723969</v>
      </c>
      <c r="F167" s="46">
        <f t="shared" si="109"/>
        <v>-2343.318762004531</v>
      </c>
      <c r="G167" s="47">
        <f t="shared" si="110"/>
        <v>-937.32750480181244</v>
      </c>
      <c r="H167" s="47">
        <f t="shared" si="111"/>
        <v>-3280.6462668063436</v>
      </c>
      <c r="I167" s="46">
        <f t="shared" si="112"/>
        <v>-5272.4672145101949</v>
      </c>
      <c r="J167" s="47">
        <f t="shared" si="115"/>
        <v>-9010</v>
      </c>
      <c r="K167" s="47">
        <f t="shared" si="116"/>
        <v>-6903.3057578623748</v>
      </c>
      <c r="L167" s="47">
        <f t="shared" si="117"/>
        <v>-3427.6771369362832</v>
      </c>
      <c r="M167" s="47">
        <f t="shared" si="118"/>
        <v>28657.87023391599</v>
      </c>
      <c r="N167" s="47">
        <f t="shared" si="119"/>
        <v>18765.696466664805</v>
      </c>
      <c r="O167" s="34"/>
      <c r="P167" s="36">
        <f t="shared" si="113"/>
        <v>0</v>
      </c>
      <c r="Q167" s="35"/>
      <c r="R167" s="33"/>
      <c r="S167" s="43"/>
      <c r="T167" s="19"/>
      <c r="U167" s="27">
        <f t="shared" si="120"/>
        <v>28657.87023391599</v>
      </c>
      <c r="V167" s="28">
        <f t="shared" si="121"/>
        <v>18765.696466664805</v>
      </c>
      <c r="W167" s="43"/>
      <c r="X167" s="19"/>
      <c r="Y167" s="42">
        <f t="shared" si="105"/>
        <v>0</v>
      </c>
      <c r="Z167" s="42">
        <f t="shared" si="106"/>
        <v>0</v>
      </c>
      <c r="AA167" s="96" t="e">
        <f t="shared" si="107"/>
        <v>#DIV/0!</v>
      </c>
      <c r="AB167" s="96" t="e">
        <f t="shared" si="108"/>
        <v>#DIV/0!</v>
      </c>
    </row>
    <row r="168" spans="1:28" hidden="1" outlineLevel="1" x14ac:dyDescent="0.25">
      <c r="A168" s="18"/>
      <c r="B168" s="38">
        <f t="shared" si="122"/>
        <v>10</v>
      </c>
      <c r="C168" s="54">
        <f t="shared" si="114"/>
        <v>120.31022149359546</v>
      </c>
      <c r="D168" s="33">
        <f>C168*VLOOKUP($A$159,Ταρίφες!$A$6:$G$23,$K$6,FALSE)*(1+$F$3)^(B168-1)</f>
        <v>46920.986382502233</v>
      </c>
      <c r="E168" s="33">
        <f>C168*VLOOKUP($A$159,Ταρίφες!$A$6:$G$23,$K$7,FALSE)*(1+$F$3)^(B168-1)</f>
        <v>33686.862018206732</v>
      </c>
      <c r="F168" s="46">
        <f t="shared" si="109"/>
        <v>-2390.1851372446217</v>
      </c>
      <c r="G168" s="47">
        <f t="shared" si="110"/>
        <v>-956.07405489784867</v>
      </c>
      <c r="H168" s="47">
        <f t="shared" si="111"/>
        <v>-3346.2591921424705</v>
      </c>
      <c r="I168" s="46">
        <f t="shared" si="112"/>
        <v>-5377.9165588003989</v>
      </c>
      <c r="J168" s="47">
        <f t="shared" si="115"/>
        <v>-9010</v>
      </c>
      <c r="K168" s="47">
        <f t="shared" si="116"/>
        <v>-6718.5433742483929</v>
      </c>
      <c r="L168" s="47">
        <f t="shared" si="117"/>
        <v>-3277.6710395315617</v>
      </c>
      <c r="M168" s="47">
        <f t="shared" si="118"/>
        <v>28132.008065168498</v>
      </c>
      <c r="N168" s="47">
        <f t="shared" si="119"/>
        <v>18338.756035589831</v>
      </c>
      <c r="O168" s="34"/>
      <c r="P168" s="36">
        <f t="shared" si="113"/>
        <v>0</v>
      </c>
      <c r="Q168" s="35"/>
      <c r="R168" s="33"/>
      <c r="S168" s="43"/>
      <c r="T168" s="19"/>
      <c r="U168" s="27">
        <f t="shared" si="120"/>
        <v>28132.008065168498</v>
      </c>
      <c r="V168" s="28">
        <f t="shared" si="121"/>
        <v>18338.756035589831</v>
      </c>
      <c r="W168" s="43"/>
      <c r="X168" s="19"/>
      <c r="Y168" s="42">
        <f t="shared" si="105"/>
        <v>0</v>
      </c>
      <c r="Z168" s="42">
        <f t="shared" si="106"/>
        <v>0</v>
      </c>
      <c r="AA168" s="96" t="e">
        <f t="shared" si="107"/>
        <v>#DIV/0!</v>
      </c>
      <c r="AB168" s="96" t="e">
        <f t="shared" si="108"/>
        <v>#DIV/0!</v>
      </c>
    </row>
    <row r="169" spans="1:28" hidden="1" outlineLevel="1" x14ac:dyDescent="0.25">
      <c r="A169" s="18"/>
      <c r="B169" s="38">
        <f t="shared" si="122"/>
        <v>11</v>
      </c>
      <c r="C169" s="54">
        <f t="shared" si="114"/>
        <v>119.10711927865951</v>
      </c>
      <c r="D169" s="33">
        <f>C169*VLOOKUP($A$159,Ταρίφες!$A$6:$G$23,$K$6,FALSE)*(1+$F$3)^(B169-1)</f>
        <v>46451.776518677209</v>
      </c>
      <c r="E169" s="33">
        <f>C169*VLOOKUP($A$159,Ταρίφες!$A$6:$G$23,$K$7,FALSE)*(1+$F$3)^(B169-1)</f>
        <v>33349.993398024664</v>
      </c>
      <c r="F169" s="46">
        <f t="shared" si="109"/>
        <v>-2437.9888399895144</v>
      </c>
      <c r="G169" s="47">
        <f t="shared" si="110"/>
        <v>-975.1955359958057</v>
      </c>
      <c r="H169" s="47">
        <f t="shared" si="111"/>
        <v>-3413.18437598532</v>
      </c>
      <c r="I169" s="46">
        <f t="shared" si="112"/>
        <v>-5485.4748899764072</v>
      </c>
      <c r="J169" s="47">
        <f t="shared" si="115"/>
        <v>-9010</v>
      </c>
      <c r="K169" s="47">
        <f t="shared" si="116"/>
        <v>-6533.7825479498424</v>
      </c>
      <c r="L169" s="47">
        <f t="shared" si="117"/>
        <v>-3127.3189365801809</v>
      </c>
      <c r="M169" s="47">
        <f t="shared" si="118"/>
        <v>27606.150328780321</v>
      </c>
      <c r="N169" s="47">
        <f t="shared" si="119"/>
        <v>17910.830819497438</v>
      </c>
      <c r="O169" s="34"/>
      <c r="P169" s="36">
        <f t="shared" si="113"/>
        <v>0</v>
      </c>
      <c r="Q169" s="35"/>
      <c r="R169" s="33"/>
      <c r="S169" s="43"/>
      <c r="T169" s="19"/>
      <c r="U169" s="27">
        <f t="shared" si="120"/>
        <v>27606.150328780321</v>
      </c>
      <c r="V169" s="28">
        <f t="shared" si="121"/>
        <v>17910.830819497438</v>
      </c>
      <c r="W169" s="43"/>
      <c r="X169" s="19"/>
      <c r="Y169" s="42">
        <f t="shared" si="105"/>
        <v>0</v>
      </c>
      <c r="Z169" s="42">
        <f t="shared" si="106"/>
        <v>0</v>
      </c>
      <c r="AA169" s="96" t="e">
        <f t="shared" si="107"/>
        <v>#DIV/0!</v>
      </c>
      <c r="AB169" s="96" t="e">
        <f t="shared" si="108"/>
        <v>#DIV/0!</v>
      </c>
    </row>
    <row r="170" spans="1:28" hidden="1" outlineLevel="1" x14ac:dyDescent="0.25">
      <c r="A170" s="18"/>
      <c r="B170" s="38">
        <f t="shared" si="122"/>
        <v>12</v>
      </c>
      <c r="C170" s="54">
        <f t="shared" si="114"/>
        <v>117.91604808587292</v>
      </c>
      <c r="D170" s="33">
        <f>C170*VLOOKUP($A$159,Ταρίφες!$A$6:$G$23,$K$6,FALSE)*(1+$F$3)^(B170-1)</f>
        <v>45987.258753490438</v>
      </c>
      <c r="E170" s="33">
        <f>C170*VLOOKUP($A$159,Ταρίφες!$A$6:$G$23,$K$7,FALSE)*(1+$F$3)^(B170-1)</f>
        <v>33016.493464044419</v>
      </c>
      <c r="F170" s="46">
        <f t="shared" si="109"/>
        <v>-2486.7486167893039</v>
      </c>
      <c r="G170" s="47">
        <f t="shared" si="110"/>
        <v>-994.69944671572159</v>
      </c>
      <c r="H170" s="47">
        <f t="shared" si="111"/>
        <v>-3481.4480635050259</v>
      </c>
      <c r="I170" s="46">
        <f t="shared" si="112"/>
        <v>-5595.1843877759338</v>
      </c>
      <c r="J170" s="47">
        <f t="shared" si="115"/>
        <v>-9010</v>
      </c>
      <c r="K170" s="47">
        <f t="shared" si="116"/>
        <v>-6348.9863420631573</v>
      </c>
      <c r="L170" s="47">
        <f t="shared" si="117"/>
        <v>-2976.5873668071927</v>
      </c>
      <c r="M170" s="47">
        <f t="shared" si="118"/>
        <v>27080.191896641292</v>
      </c>
      <c r="N170" s="47">
        <f t="shared" si="119"/>
        <v>17481.825582451238</v>
      </c>
      <c r="O170" s="34"/>
      <c r="P170" s="36">
        <f t="shared" si="113"/>
        <v>0</v>
      </c>
      <c r="Q170" s="35"/>
      <c r="R170" s="33"/>
      <c r="S170" s="43"/>
      <c r="T170" s="19"/>
      <c r="U170" s="27">
        <f t="shared" si="120"/>
        <v>27080.191896641292</v>
      </c>
      <c r="V170" s="28">
        <f t="shared" si="121"/>
        <v>17481.825582451238</v>
      </c>
      <c r="W170" s="43"/>
      <c r="X170" s="19"/>
      <c r="Y170" s="42">
        <f t="shared" si="105"/>
        <v>0</v>
      </c>
      <c r="Z170" s="42">
        <f t="shared" si="106"/>
        <v>0</v>
      </c>
      <c r="AA170" s="96" t="e">
        <f t="shared" si="107"/>
        <v>#DIV/0!</v>
      </c>
      <c r="AB170" s="96" t="e">
        <f t="shared" si="108"/>
        <v>#DIV/0!</v>
      </c>
    </row>
    <row r="171" spans="1:28" hidden="1" outlineLevel="1" x14ac:dyDescent="0.25">
      <c r="A171" s="18"/>
      <c r="B171" s="38">
        <f t="shared" si="122"/>
        <v>13</v>
      </c>
      <c r="C171" s="54">
        <f t="shared" si="114"/>
        <v>116.73688760501419</v>
      </c>
      <c r="D171" s="33">
        <f>C171*VLOOKUP($A$159,Ταρίφες!$A$6:$G$23,$K$6,FALSE)*(1+$F$3)^(B171-1)</f>
        <v>45527.386165955533</v>
      </c>
      <c r="E171" s="33">
        <f>C171*VLOOKUP($A$159,Ταρίφες!$A$6:$G$23,$K$7,FALSE)*(1+$F$3)^(B171-1)</f>
        <v>32686.328529403974</v>
      </c>
      <c r="F171" s="46">
        <f t="shared" si="109"/>
        <v>-2536.4835891250905</v>
      </c>
      <c r="G171" s="47">
        <f t="shared" si="110"/>
        <v>-1014.5934356500362</v>
      </c>
      <c r="H171" s="47">
        <f t="shared" si="111"/>
        <v>-3551.0770247751266</v>
      </c>
      <c r="I171" s="46">
        <f t="shared" si="112"/>
        <v>-5707.0880755314538</v>
      </c>
      <c r="J171" s="47">
        <f t="shared" si="115"/>
        <v>-9010</v>
      </c>
      <c r="K171" s="47">
        <f t="shared" si="116"/>
        <v>-6164.1174506271955</v>
      </c>
      <c r="L171" s="47">
        <f t="shared" si="117"/>
        <v>-2825.44246512379</v>
      </c>
      <c r="M171" s="47">
        <f t="shared" si="118"/>
        <v>26554.026590246631</v>
      </c>
      <c r="N171" s="47">
        <f t="shared" si="119"/>
        <v>17051.643939198479</v>
      </c>
      <c r="O171" s="34"/>
      <c r="P171" s="36">
        <f t="shared" si="113"/>
        <v>0</v>
      </c>
      <c r="Q171" s="35"/>
      <c r="R171" s="33"/>
      <c r="S171" s="43"/>
      <c r="T171" s="19"/>
      <c r="U171" s="27">
        <f t="shared" si="120"/>
        <v>26554.026590246631</v>
      </c>
      <c r="V171" s="28">
        <f t="shared" si="121"/>
        <v>17051.643939198479</v>
      </c>
      <c r="W171" s="43"/>
      <c r="X171" s="19"/>
      <c r="Y171" s="42">
        <f t="shared" si="105"/>
        <v>0</v>
      </c>
      <c r="Z171" s="42">
        <f t="shared" si="106"/>
        <v>0</v>
      </c>
      <c r="AA171" s="96" t="e">
        <f t="shared" si="107"/>
        <v>#DIV/0!</v>
      </c>
      <c r="AB171" s="96" t="e">
        <f t="shared" si="108"/>
        <v>#DIV/0!</v>
      </c>
    </row>
    <row r="172" spans="1:28" hidden="1" outlineLevel="1" x14ac:dyDescent="0.25">
      <c r="A172" s="18"/>
      <c r="B172" s="38">
        <f t="shared" si="122"/>
        <v>14</v>
      </c>
      <c r="C172" s="54">
        <f t="shared" si="114"/>
        <v>115.56951872896404</v>
      </c>
      <c r="D172" s="33">
        <f>C172*VLOOKUP($A$159,Ταρίφες!$A$6:$G$23,$K$6,FALSE)*(1+$F$3)^(B172-1)</f>
        <v>45072.112304295973</v>
      </c>
      <c r="E172" s="33">
        <f>C172*VLOOKUP($A$159,Ταρίφες!$A$6:$G$23,$K$7,FALSE)*(1+$F$3)^(B172-1)</f>
        <v>32359.465244109932</v>
      </c>
      <c r="F172" s="46">
        <f t="shared" si="109"/>
        <v>-2587.213260907592</v>
      </c>
      <c r="G172" s="47">
        <f t="shared" si="110"/>
        <v>-1034.8853043630368</v>
      </c>
      <c r="H172" s="47">
        <f t="shared" si="111"/>
        <v>-3622.098565270629</v>
      </c>
      <c r="I172" s="46">
        <f t="shared" si="112"/>
        <v>-5821.2298370420822</v>
      </c>
      <c r="J172" s="47">
        <f t="shared" si="115"/>
        <v>-9010</v>
      </c>
      <c r="K172" s="47">
        <f t="shared" si="116"/>
        <v>-5979.1381875452853</v>
      </c>
      <c r="L172" s="47">
        <f t="shared" si="117"/>
        <v>-2673.8499518969143</v>
      </c>
      <c r="M172" s="47">
        <f t="shared" si="118"/>
        <v>26027.547149167349</v>
      </c>
      <c r="N172" s="47">
        <f t="shared" si="119"/>
        <v>16620.188324629678</v>
      </c>
      <c r="O172" s="34"/>
      <c r="P172" s="36">
        <f t="shared" si="113"/>
        <v>0</v>
      </c>
      <c r="Q172" s="35"/>
      <c r="R172" s="33"/>
      <c r="S172" s="43"/>
      <c r="T172" s="19"/>
      <c r="U172" s="27">
        <f t="shared" si="120"/>
        <v>26027.547149167349</v>
      </c>
      <c r="V172" s="28">
        <f t="shared" si="121"/>
        <v>16620.188324629678</v>
      </c>
      <c r="W172" s="43"/>
      <c r="X172" s="19"/>
      <c r="Y172" s="42">
        <f t="shared" si="105"/>
        <v>0</v>
      </c>
      <c r="Z172" s="42">
        <f t="shared" si="106"/>
        <v>0</v>
      </c>
      <c r="AA172" s="96" t="e">
        <f t="shared" si="107"/>
        <v>#DIV/0!</v>
      </c>
      <c r="AB172" s="96" t="e">
        <f t="shared" si="108"/>
        <v>#DIV/0!</v>
      </c>
    </row>
    <row r="173" spans="1:28" hidden="1" outlineLevel="1" x14ac:dyDescent="0.25">
      <c r="A173" s="18"/>
      <c r="B173" s="38">
        <f t="shared" si="122"/>
        <v>15</v>
      </c>
      <c r="C173" s="54">
        <f t="shared" si="114"/>
        <v>114.4138235416744</v>
      </c>
      <c r="D173" s="33">
        <f>C173*VLOOKUP($A$159,Ταρίφες!$A$6:$G$23,$K$6,FALSE)*(1+$F$3)^(B173-1)</f>
        <v>44621.39118125302</v>
      </c>
      <c r="E173" s="33">
        <f>C173*VLOOKUP($A$159,Ταρίφες!$A$6:$G$23,$K$7,FALSE)*(1+$F$3)^(B173-1)</f>
        <v>32035.870591668834</v>
      </c>
      <c r="F173" s="46">
        <f t="shared" si="109"/>
        <v>-2638.9575261257442</v>
      </c>
      <c r="G173" s="47">
        <f t="shared" si="110"/>
        <v>-1055.5830104502977</v>
      </c>
      <c r="H173" s="47">
        <f t="shared" si="111"/>
        <v>-3694.5405365760421</v>
      </c>
      <c r="I173" s="46">
        <f t="shared" si="112"/>
        <v>-5937.6544337829246</v>
      </c>
      <c r="J173" s="47">
        <f t="shared" si="115"/>
        <v>-9010</v>
      </c>
      <c r="K173" s="47">
        <f t="shared" si="116"/>
        <v>-5794.0104753226833</v>
      </c>
      <c r="L173" s="47">
        <f t="shared" si="117"/>
        <v>-2521.7751220307946</v>
      </c>
      <c r="M173" s="47">
        <f t="shared" si="118"/>
        <v>25500.645198995328</v>
      </c>
      <c r="N173" s="47">
        <f t="shared" si="119"/>
        <v>16187.359962703031</v>
      </c>
      <c r="O173" s="34"/>
      <c r="P173" s="36">
        <f t="shared" si="113"/>
        <v>0</v>
      </c>
      <c r="Q173" s="35"/>
      <c r="R173" s="33"/>
      <c r="S173" s="43"/>
      <c r="T173" s="19"/>
      <c r="U173" s="27">
        <f t="shared" si="120"/>
        <v>25500.645198995328</v>
      </c>
      <c r="V173" s="28">
        <f t="shared" si="121"/>
        <v>16187.359962703031</v>
      </c>
      <c r="W173" s="43"/>
      <c r="X173" s="19"/>
      <c r="Y173" s="42">
        <f t="shared" si="105"/>
        <v>0</v>
      </c>
      <c r="Z173" s="42">
        <f t="shared" si="106"/>
        <v>0</v>
      </c>
      <c r="AA173" s="96" t="e">
        <f t="shared" si="107"/>
        <v>#DIV/0!</v>
      </c>
      <c r="AB173" s="96" t="e">
        <f t="shared" si="108"/>
        <v>#DIV/0!</v>
      </c>
    </row>
    <row r="174" spans="1:28" hidden="1" outlineLevel="1" x14ac:dyDescent="0.25">
      <c r="A174" s="18"/>
      <c r="B174" s="38">
        <f t="shared" si="122"/>
        <v>16</v>
      </c>
      <c r="C174" s="54">
        <f t="shared" si="114"/>
        <v>113.26968530625766</v>
      </c>
      <c r="D174" s="33">
        <f>C174*VLOOKUP($A$159,Ταρίφες!$A$6:$G$23,$K$6,FALSE)*(1+$F$3)^(B174-1)</f>
        <v>44175.177269440486</v>
      </c>
      <c r="E174" s="33">
        <f>C174*VLOOKUP($A$159,Ταρίφες!$A$6:$G$23,$K$7,FALSE)*(1+$F$3)^(B174-1)</f>
        <v>31715.511885752145</v>
      </c>
      <c r="F174" s="46">
        <f t="shared" si="109"/>
        <v>-2691.7366766482583</v>
      </c>
      <c r="G174" s="47">
        <f t="shared" si="110"/>
        <v>-1076.6946706593035</v>
      </c>
      <c r="H174" s="47">
        <f t="shared" si="111"/>
        <v>-3768.4313473075617</v>
      </c>
      <c r="I174" s="46">
        <f t="shared" si="112"/>
        <v>-6056.4075224585813</v>
      </c>
      <c r="J174" s="47">
        <f t="shared" si="115"/>
        <v>-9010</v>
      </c>
      <c r="K174" s="47">
        <f t="shared" si="116"/>
        <v>-5608.6958336153639</v>
      </c>
      <c r="L174" s="47">
        <f t="shared" si="117"/>
        <v>-2369.1828338563951</v>
      </c>
      <c r="M174" s="47">
        <f t="shared" si="118"/>
        <v>24973.211218751421</v>
      </c>
      <c r="N174" s="47">
        <f t="shared" si="119"/>
        <v>15753.058834822046</v>
      </c>
      <c r="O174" s="34"/>
      <c r="P174" s="36">
        <f t="shared" si="113"/>
        <v>0</v>
      </c>
      <c r="Q174" s="35"/>
      <c r="R174" s="33"/>
      <c r="S174" s="43"/>
      <c r="T174" s="19"/>
      <c r="U174" s="27">
        <f t="shared" si="120"/>
        <v>24973.211218751421</v>
      </c>
      <c r="V174" s="28">
        <f t="shared" si="121"/>
        <v>15753.058834822046</v>
      </c>
      <c r="W174" s="43"/>
      <c r="X174" s="19"/>
      <c r="Y174" s="42">
        <f t="shared" si="105"/>
        <v>0</v>
      </c>
      <c r="Z174" s="42">
        <f t="shared" si="106"/>
        <v>0</v>
      </c>
      <c r="AA174" s="96" t="e">
        <f t="shared" si="107"/>
        <v>#DIV/0!</v>
      </c>
      <c r="AB174" s="96" t="e">
        <f t="shared" si="108"/>
        <v>#DIV/0!</v>
      </c>
    </row>
    <row r="175" spans="1:28" hidden="1" outlineLevel="1" x14ac:dyDescent="0.25">
      <c r="A175" s="18"/>
      <c r="B175" s="38">
        <f t="shared" si="122"/>
        <v>17</v>
      </c>
      <c r="C175" s="54">
        <f t="shared" si="114"/>
        <v>112.13698845319507</v>
      </c>
      <c r="D175" s="33">
        <f>C175*VLOOKUP($A$159,Ταρίφες!$A$6:$G$23,$K$6,FALSE)*(1+$F$3)^(B175-1)</f>
        <v>43733.42549674608</v>
      </c>
      <c r="E175" s="33">
        <f>C175*VLOOKUP($A$159,Ταρίφες!$A$6:$G$23,$K$7,FALSE)*(1+$F$3)^(B175-1)</f>
        <v>31398.35676689462</v>
      </c>
      <c r="F175" s="46">
        <f t="shared" si="109"/>
        <v>-2745.5714101812241</v>
      </c>
      <c r="G175" s="47">
        <f t="shared" si="110"/>
        <v>-1098.2285640724897</v>
      </c>
      <c r="H175" s="47">
        <f t="shared" si="111"/>
        <v>-3843.7999742537136</v>
      </c>
      <c r="I175" s="46">
        <f t="shared" si="112"/>
        <v>-6177.5356729077539</v>
      </c>
      <c r="J175" s="47">
        <f t="shared" si="115"/>
        <v>-9010</v>
      </c>
      <c r="K175" s="47">
        <f t="shared" si="116"/>
        <v>-5423.1553675860341</v>
      </c>
      <c r="L175" s="47">
        <f t="shared" si="117"/>
        <v>-2216.0374978246541</v>
      </c>
      <c r="M175" s="47">
        <f t="shared" si="118"/>
        <v>24445.134507744864</v>
      </c>
      <c r="N175" s="47">
        <f t="shared" si="119"/>
        <v>15317.183647654783</v>
      </c>
      <c r="O175" s="34"/>
      <c r="P175" s="36">
        <f t="shared" si="113"/>
        <v>0</v>
      </c>
      <c r="Q175" s="35"/>
      <c r="R175" s="33"/>
      <c r="S175" s="43"/>
      <c r="T175" s="19"/>
      <c r="U175" s="27">
        <f t="shared" si="120"/>
        <v>24445.134507744864</v>
      </c>
      <c r="V175" s="28">
        <f t="shared" si="121"/>
        <v>15317.183647654783</v>
      </c>
      <c r="W175" s="43"/>
      <c r="X175" s="19"/>
      <c r="Y175" s="42">
        <f t="shared" si="105"/>
        <v>0</v>
      </c>
      <c r="Z175" s="42">
        <f t="shared" si="106"/>
        <v>0</v>
      </c>
      <c r="AA175" s="96" t="e">
        <f t="shared" si="107"/>
        <v>#DIV/0!</v>
      </c>
      <c r="AB175" s="96" t="e">
        <f t="shared" si="108"/>
        <v>#DIV/0!</v>
      </c>
    </row>
    <row r="176" spans="1:28" hidden="1" outlineLevel="1" x14ac:dyDescent="0.25">
      <c r="A176" s="18"/>
      <c r="B176" s="38">
        <f t="shared" si="122"/>
        <v>18</v>
      </c>
      <c r="C176" s="54">
        <f t="shared" si="114"/>
        <v>111.01561856866311</v>
      </c>
      <c r="D176" s="33">
        <f>C176*VLOOKUP($A$159,Ταρίφες!$A$6:$G$23,$K$6,FALSE)*(1+$F$3)^(B176-1)</f>
        <v>43296.091241778617</v>
      </c>
      <c r="E176" s="33">
        <f>C176*VLOOKUP($A$159,Ταρίφες!$A$6:$G$23,$K$7,FALSE)*(1+$F$3)^(B176-1)</f>
        <v>31084.373199225673</v>
      </c>
      <c r="F176" s="46">
        <f t="shared" si="109"/>
        <v>-2800.4828383848489</v>
      </c>
      <c r="G176" s="47">
        <f t="shared" si="110"/>
        <v>-1120.1931353539396</v>
      </c>
      <c r="H176" s="47">
        <f t="shared" si="111"/>
        <v>-3920.6759737387883</v>
      </c>
      <c r="I176" s="46">
        <f t="shared" si="112"/>
        <v>-6301.0863863659097</v>
      </c>
      <c r="J176" s="47">
        <f t="shared" si="115"/>
        <v>-9010</v>
      </c>
      <c r="K176" s="47">
        <f t="shared" si="116"/>
        <v>-5237.349756063134</v>
      </c>
      <c r="L176" s="47">
        <f t="shared" si="117"/>
        <v>-2062.3030649993689</v>
      </c>
      <c r="M176" s="47">
        <f t="shared" si="118"/>
        <v>23916.303151871998</v>
      </c>
      <c r="N176" s="47">
        <f t="shared" si="119"/>
        <v>14879.631800382818</v>
      </c>
      <c r="O176" s="34"/>
      <c r="P176" s="36">
        <f t="shared" si="113"/>
        <v>0</v>
      </c>
      <c r="Q176" s="35"/>
      <c r="R176" s="33"/>
      <c r="S176" s="43"/>
      <c r="T176" s="19"/>
      <c r="U176" s="27">
        <f t="shared" si="120"/>
        <v>23916.303151871998</v>
      </c>
      <c r="V176" s="28">
        <f t="shared" si="121"/>
        <v>14879.631800382818</v>
      </c>
      <c r="W176" s="43"/>
      <c r="X176" s="19"/>
      <c r="Y176" s="42">
        <f t="shared" si="105"/>
        <v>0</v>
      </c>
      <c r="Z176" s="42">
        <f t="shared" si="106"/>
        <v>0</v>
      </c>
      <c r="AA176" s="96" t="e">
        <f t="shared" si="107"/>
        <v>#DIV/0!</v>
      </c>
      <c r="AB176" s="96" t="e">
        <f t="shared" si="108"/>
        <v>#DIV/0!</v>
      </c>
    </row>
    <row r="177" spans="1:28" hidden="1" outlineLevel="1" x14ac:dyDescent="0.25">
      <c r="A177" s="18"/>
      <c r="B177" s="38">
        <f t="shared" si="122"/>
        <v>19</v>
      </c>
      <c r="C177" s="54">
        <f t="shared" si="114"/>
        <v>109.90546238297648</v>
      </c>
      <c r="D177" s="33">
        <f>C177*VLOOKUP($A$159,Ταρίφες!$A$6:$G$23,$K$6,FALSE)*(1+$F$3)^(B177-1)</f>
        <v>42863.130329360829</v>
      </c>
      <c r="E177" s="33">
        <f>C177*VLOOKUP($A$159,Ταρίφες!$A$6:$G$23,$K$7,FALSE)*(1+$F$3)^(B177-1)</f>
        <v>30773.529467233413</v>
      </c>
      <c r="F177" s="46">
        <f t="shared" si="109"/>
        <v>-2856.4924951525454</v>
      </c>
      <c r="G177" s="47">
        <f t="shared" si="110"/>
        <v>-1142.5969980610182</v>
      </c>
      <c r="H177" s="47">
        <f t="shared" si="111"/>
        <v>-3999.0894932135634</v>
      </c>
      <c r="I177" s="46">
        <f t="shared" si="112"/>
        <v>-6427.1081140932274</v>
      </c>
      <c r="J177" s="47">
        <f t="shared" si="115"/>
        <v>-9010</v>
      </c>
      <c r="K177" s="47">
        <f t="shared" si="116"/>
        <v>-5051.2392394985227</v>
      </c>
      <c r="L177" s="47">
        <f t="shared" si="117"/>
        <v>-1907.9430153453948</v>
      </c>
      <c r="M177" s="47">
        <f t="shared" si="118"/>
        <v>23386.603989341951</v>
      </c>
      <c r="N177" s="47">
        <f t="shared" si="119"/>
        <v>14440.299351367665</v>
      </c>
      <c r="O177" s="34"/>
      <c r="P177" s="36">
        <f t="shared" si="113"/>
        <v>0</v>
      </c>
      <c r="Q177" s="35"/>
      <c r="R177" s="33"/>
      <c r="S177" s="43"/>
      <c r="T177" s="19"/>
      <c r="U177" s="27">
        <f t="shared" si="120"/>
        <v>23386.603989341951</v>
      </c>
      <c r="V177" s="28">
        <f t="shared" si="121"/>
        <v>14440.299351367665</v>
      </c>
      <c r="W177" s="43"/>
      <c r="X177" s="19"/>
      <c r="Y177" s="42">
        <f t="shared" si="105"/>
        <v>0</v>
      </c>
      <c r="Z177" s="42">
        <f t="shared" si="106"/>
        <v>0</v>
      </c>
      <c r="AA177" s="96" t="e">
        <f t="shared" si="107"/>
        <v>#DIV/0!</v>
      </c>
      <c r="AB177" s="96" t="e">
        <f t="shared" si="108"/>
        <v>#DIV/0!</v>
      </c>
    </row>
    <row r="178" spans="1:28" hidden="1" outlineLevel="1" x14ac:dyDescent="0.25">
      <c r="A178" s="18"/>
      <c r="B178" s="38">
        <f>B177+1</f>
        <v>20</v>
      </c>
      <c r="C178" s="54">
        <f>C177*(1-$F$2)</f>
        <v>108.80640775914671</v>
      </c>
      <c r="D178" s="33">
        <f>C178*VLOOKUP($A$159,Ταρίφες!$A$6:$G$23,$K$6,FALSE)*(1+$F$3)^(B178-1)</f>
        <v>42434.499026067213</v>
      </c>
      <c r="E178" s="33">
        <f>C178*VLOOKUP($A$159,Ταρίφες!$A$6:$G$23,$K$7,FALSE)*(1+$F$3)^(B178-1)</f>
        <v>30465.79417256108</v>
      </c>
      <c r="F178" s="46">
        <f t="shared" si="109"/>
        <v>-2913.6223450555963</v>
      </c>
      <c r="G178" s="47">
        <f t="shared" si="110"/>
        <v>-1165.4489380222385</v>
      </c>
      <c r="H178" s="47">
        <f>-$K$4*(1+$F$4)^(B178-$B$12)</f>
        <v>-4079.0712830778348</v>
      </c>
      <c r="I178" s="46">
        <f>-(4500*(1+$F$4)^(B178-$B$12))</f>
        <v>-6555.6502763750914</v>
      </c>
      <c r="J178" s="47">
        <f t="shared" si="115"/>
        <v>-9010</v>
      </c>
      <c r="K178" s="47">
        <f>-(D178+SUM(F178:J178))*$F$5</f>
        <v>-4864.7836077194779</v>
      </c>
      <c r="L178" s="47">
        <f>-(E178+SUM(F178:J178))*$F$5</f>
        <v>-1752.9203458078828</v>
      </c>
      <c r="M178" s="47">
        <f>D178+SUM(F178:I178)+K178</f>
        <v>22855.922575816974</v>
      </c>
      <c r="N178" s="47">
        <f>E178+SUM(F178:I178)+L178</f>
        <v>13999.080984222435</v>
      </c>
      <c r="O178" s="34"/>
      <c r="P178" s="36">
        <f t="shared" si="113"/>
        <v>0</v>
      </c>
      <c r="Q178" s="35"/>
      <c r="R178" s="33"/>
      <c r="S178" s="43"/>
      <c r="T178" s="19"/>
      <c r="U178" s="27">
        <f>M178</f>
        <v>22855.922575816974</v>
      </c>
      <c r="V178" s="28">
        <f>N178</f>
        <v>13999.080984222435</v>
      </c>
      <c r="W178" s="43"/>
      <c r="X178" s="19"/>
      <c r="Y178" s="42">
        <f t="shared" si="105"/>
        <v>0</v>
      </c>
      <c r="Z178" s="42">
        <f t="shared" si="106"/>
        <v>0</v>
      </c>
      <c r="AA178" s="96" t="e">
        <f t="shared" si="107"/>
        <v>#DIV/0!</v>
      </c>
      <c r="AB178" s="96" t="e">
        <f t="shared" si="108"/>
        <v>#DIV/0!</v>
      </c>
    </row>
    <row r="179" spans="1:28" s="40" customFormat="1" hidden="1" outlineLevel="1" x14ac:dyDescent="0.25">
      <c r="O179" s="17"/>
      <c r="P179" s="36">
        <f>-O179*0.4</f>
        <v>0</v>
      </c>
      <c r="Q179" s="25"/>
      <c r="R179" s="22"/>
      <c r="S179" s="52"/>
      <c r="T179" s="44"/>
      <c r="U179" s="74">
        <f>O180</f>
        <v>-199500</v>
      </c>
      <c r="V179" s="74">
        <f>R180</f>
        <v>-139176.92362591624</v>
      </c>
      <c r="W179" s="52"/>
      <c r="X179" s="44"/>
      <c r="Y179" s="42">
        <f t="shared" si="105"/>
        <v>0</v>
      </c>
      <c r="Z179" s="42">
        <f t="shared" si="106"/>
        <v>0</v>
      </c>
      <c r="AA179" s="96" t="e">
        <f t="shared" si="107"/>
        <v>#DIV/0!</v>
      </c>
      <c r="AB179" s="96" t="e">
        <f t="shared" si="108"/>
        <v>#DIV/0!</v>
      </c>
    </row>
    <row r="180" spans="1:28" collapsed="1" x14ac:dyDescent="0.25">
      <c r="A180" s="32" t="str">
        <f>Ταρίφες!A18</f>
        <v>Α Τριμ. 2012</v>
      </c>
      <c r="B180" s="38">
        <f>1</f>
        <v>1</v>
      </c>
      <c r="C180" s="54">
        <f>$F$8*$K$2/1000</f>
        <v>131.69999999999999</v>
      </c>
      <c r="D180" s="33">
        <f>C180*VLOOKUP($A$180,Ταρίφες!$A$6:$G$23,$K$6,FALSE)*(1+$F$3)^(B180-1)</f>
        <v>48070.499999999993</v>
      </c>
      <c r="E180" s="33">
        <f>C180*VLOOKUP($A$180,Ταρίφες!$A$6:$G$23,$K$7,FALSE)*(1+$F$3)^(B180-1)</f>
        <v>34900.5</v>
      </c>
      <c r="F180" s="46">
        <f t="shared" ref="F180:F199" si="123">-($K$5*(1+$F$4)^(B180-$B$12))</f>
        <v>-2000</v>
      </c>
      <c r="G180" s="47">
        <f t="shared" ref="G180:G199" si="124">-$K$2*10*(1+$F$4)^(B180-$B$12)</f>
        <v>-800</v>
      </c>
      <c r="H180" s="47">
        <f t="shared" ref="H180:H198" si="125">-$K$4*(1+$F$4)^(B180-$B$12)</f>
        <v>-2800</v>
      </c>
      <c r="I180" s="46">
        <f t="shared" ref="I180:I198" si="126">-(4500*(1+$F$4)^(B180-$B$12))</f>
        <v>-4500</v>
      </c>
      <c r="J180" s="47">
        <f>$O$180*4%</f>
        <v>-7980</v>
      </c>
      <c r="K180" s="47">
        <f>-(D180+SUM(F180:J180))*$F$5</f>
        <v>-7797.5299999999979</v>
      </c>
      <c r="L180" s="47">
        <f>-(E180+SUM(F180:J180))*$F$5</f>
        <v>-4373.33</v>
      </c>
      <c r="M180" s="47">
        <f>D180+SUM(F180:I180)+K180</f>
        <v>30172.969999999994</v>
      </c>
      <c r="N180" s="47">
        <f>E180+SUM(F180:I180)+L180</f>
        <v>20427.169999999998</v>
      </c>
      <c r="O180" s="35">
        <f>-VLOOKUP(A180,'Κόστος Κατασκευής'!$A$4:$Q$17,$K$8,FALSE)</f>
        <v>-199500</v>
      </c>
      <c r="P180" s="36">
        <f t="shared" ref="P180:P200" si="127">-O180*0.4</f>
        <v>79800</v>
      </c>
      <c r="Q180" s="36">
        <f>Q159*15/16</f>
        <v>-19476.923625916246</v>
      </c>
      <c r="R180" s="37">
        <f>SUM(O180:Q180)</f>
        <v>-139176.92362591624</v>
      </c>
      <c r="S180" s="42">
        <f>IRR(U179:U199)</f>
        <v>0.12274469201459315</v>
      </c>
      <c r="T180" s="42">
        <f>IRR(V179:V199)</f>
        <v>0.1135882309974241</v>
      </c>
      <c r="U180" s="27">
        <f>M180</f>
        <v>30172.969999999994</v>
      </c>
      <c r="V180" s="28">
        <f>N180</f>
        <v>20427.169999999998</v>
      </c>
      <c r="W180" s="42">
        <f>'IRR ΔΣ Ισχύον'!S180</f>
        <v>0.1802027048627477</v>
      </c>
      <c r="X180" s="42">
        <f>'IRR ΔΣ Ισχύον'!T180</f>
        <v>0.16393844654257039</v>
      </c>
      <c r="Y180" s="42">
        <f t="shared" si="105"/>
        <v>-5.7458012848154549E-2</v>
      </c>
      <c r="Z180" s="42">
        <f t="shared" si="106"/>
        <v>-5.0350215545146293E-2</v>
      </c>
      <c r="AA180" s="96">
        <f t="shared" si="107"/>
        <v>0.4</v>
      </c>
      <c r="AB180" s="96">
        <f t="shared" si="108"/>
        <v>0.30237131014578322</v>
      </c>
    </row>
    <row r="181" spans="1:28" hidden="1" outlineLevel="1" x14ac:dyDescent="0.25">
      <c r="A181" s="18"/>
      <c r="B181" s="38">
        <f>B180+1</f>
        <v>2</v>
      </c>
      <c r="C181" s="54">
        <f t="shared" ref="C181:C198" si="128">C180*(1-$F$2)</f>
        <v>130.38299999999998</v>
      </c>
      <c r="D181" s="33">
        <f>C181*VLOOKUP($A$180,Ταρίφες!$A$6:$G$23,$K$6,FALSE)*(1+$F$3)^(B181-1)</f>
        <v>47589.794999999991</v>
      </c>
      <c r="E181" s="33">
        <f>C181*VLOOKUP($A$180,Ταρίφες!$A$6:$G$23,$K$7,FALSE)*(1+$F$3)^(B181-1)</f>
        <v>34551.494999999995</v>
      </c>
      <c r="F181" s="46">
        <f t="shared" si="123"/>
        <v>-2040</v>
      </c>
      <c r="G181" s="47">
        <f t="shared" si="124"/>
        <v>-816</v>
      </c>
      <c r="H181" s="47">
        <f t="shared" si="125"/>
        <v>-2856</v>
      </c>
      <c r="I181" s="46">
        <f t="shared" si="126"/>
        <v>-4590</v>
      </c>
      <c r="J181" s="47">
        <f t="shared" ref="J181:J199" si="129">$O$180*4%</f>
        <v>-7980</v>
      </c>
      <c r="K181" s="47">
        <f t="shared" ref="K181:K198" si="130">-(D181+SUM(F181:J181))*$F$5</f>
        <v>-7620.0266999999976</v>
      </c>
      <c r="L181" s="47">
        <f t="shared" ref="L181:L198" si="131">-(E181+SUM(F181:J181))*$F$5</f>
        <v>-4230.0686999999989</v>
      </c>
      <c r="M181" s="47">
        <f t="shared" ref="M181:M198" si="132">D181+SUM(F181:I181)+K181</f>
        <v>29667.768299999992</v>
      </c>
      <c r="N181" s="47">
        <f t="shared" ref="N181:N198" si="133">E181+SUM(F181:I181)+L181</f>
        <v>20019.426299999996</v>
      </c>
      <c r="O181" s="34"/>
      <c r="P181" s="36">
        <f t="shared" si="127"/>
        <v>0</v>
      </c>
      <c r="Q181" s="35"/>
      <c r="R181" s="33"/>
      <c r="S181" s="43"/>
      <c r="T181" s="19"/>
      <c r="U181" s="27">
        <f t="shared" ref="U181:U198" si="134">M181</f>
        <v>29667.768299999992</v>
      </c>
      <c r="V181" s="28">
        <f t="shared" ref="V181:V198" si="135">N181</f>
        <v>20019.426299999996</v>
      </c>
      <c r="W181" s="43"/>
      <c r="X181" s="19"/>
      <c r="Y181" s="42">
        <f t="shared" si="105"/>
        <v>0</v>
      </c>
      <c r="Z181" s="42">
        <f t="shared" si="106"/>
        <v>0</v>
      </c>
      <c r="AA181" s="96" t="e">
        <f t="shared" si="107"/>
        <v>#DIV/0!</v>
      </c>
      <c r="AB181" s="96" t="e">
        <f t="shared" si="108"/>
        <v>#DIV/0!</v>
      </c>
    </row>
    <row r="182" spans="1:28" hidden="1" outlineLevel="1" x14ac:dyDescent="0.25">
      <c r="A182" s="18"/>
      <c r="B182" s="38">
        <f t="shared" ref="B182:B198" si="136">B181+1</f>
        <v>3</v>
      </c>
      <c r="C182" s="54">
        <f t="shared" si="128"/>
        <v>129.07916999999998</v>
      </c>
      <c r="D182" s="33">
        <f>C182*VLOOKUP($A$180,Ταρίφες!$A$6:$G$23,$K$6,FALSE)*(1+$F$3)^(B182-1)</f>
        <v>47113.897049999992</v>
      </c>
      <c r="E182" s="33">
        <f>C182*VLOOKUP($A$180,Ταρίφες!$A$6:$G$23,$K$7,FALSE)*(1+$F$3)^(B182-1)</f>
        <v>34205.980049999991</v>
      </c>
      <c r="F182" s="46">
        <f t="shared" si="123"/>
        <v>-2080.8000000000002</v>
      </c>
      <c r="G182" s="47">
        <f t="shared" si="124"/>
        <v>-832.31999999999994</v>
      </c>
      <c r="H182" s="47">
        <f t="shared" si="125"/>
        <v>-2913.12</v>
      </c>
      <c r="I182" s="46">
        <f t="shared" si="126"/>
        <v>-4681.8</v>
      </c>
      <c r="J182" s="47">
        <f t="shared" si="129"/>
        <v>-7980</v>
      </c>
      <c r="K182" s="47">
        <f t="shared" si="130"/>
        <v>-7442.722832999998</v>
      </c>
      <c r="L182" s="47">
        <f t="shared" si="131"/>
        <v>-4086.6644129999977</v>
      </c>
      <c r="M182" s="47">
        <f t="shared" si="132"/>
        <v>29163.134216999992</v>
      </c>
      <c r="N182" s="47">
        <f t="shared" si="133"/>
        <v>19611.275636999992</v>
      </c>
      <c r="O182" s="34"/>
      <c r="P182" s="36">
        <f t="shared" si="127"/>
        <v>0</v>
      </c>
      <c r="Q182" s="35"/>
      <c r="R182" s="33"/>
      <c r="S182" s="43"/>
      <c r="T182" s="19"/>
      <c r="U182" s="27">
        <f t="shared" si="134"/>
        <v>29163.134216999992</v>
      </c>
      <c r="V182" s="28">
        <f t="shared" si="135"/>
        <v>19611.275636999992</v>
      </c>
      <c r="W182" s="43"/>
      <c r="X182" s="19"/>
      <c r="Y182" s="42">
        <f t="shared" si="105"/>
        <v>0</v>
      </c>
      <c r="Z182" s="42">
        <f t="shared" si="106"/>
        <v>0</v>
      </c>
      <c r="AA182" s="96" t="e">
        <f t="shared" si="107"/>
        <v>#DIV/0!</v>
      </c>
      <c r="AB182" s="96" t="e">
        <f t="shared" si="108"/>
        <v>#DIV/0!</v>
      </c>
    </row>
    <row r="183" spans="1:28" hidden="1" outlineLevel="1" x14ac:dyDescent="0.25">
      <c r="A183" s="18"/>
      <c r="B183" s="38">
        <f t="shared" si="136"/>
        <v>4</v>
      </c>
      <c r="C183" s="54">
        <f t="shared" si="128"/>
        <v>127.78837829999998</v>
      </c>
      <c r="D183" s="33">
        <f>C183*VLOOKUP($A$180,Ταρίφες!$A$6:$G$23,$K$6,FALSE)*(1+$F$3)^(B183-1)</f>
        <v>46642.758079499989</v>
      </c>
      <c r="E183" s="33">
        <f>C183*VLOOKUP($A$180,Ταρίφες!$A$6:$G$23,$K$7,FALSE)*(1+$F$3)^(B183-1)</f>
        <v>33863.920249499992</v>
      </c>
      <c r="F183" s="46">
        <f t="shared" si="123"/>
        <v>-2122.4159999999997</v>
      </c>
      <c r="G183" s="47">
        <f t="shared" si="124"/>
        <v>-848.96639999999991</v>
      </c>
      <c r="H183" s="47">
        <f t="shared" si="125"/>
        <v>-2971.3824</v>
      </c>
      <c r="I183" s="46">
        <f t="shared" si="126"/>
        <v>-4775.4359999999997</v>
      </c>
      <c r="J183" s="47">
        <f t="shared" si="129"/>
        <v>-7980</v>
      </c>
      <c r="K183" s="47">
        <f t="shared" si="130"/>
        <v>-7265.5848926699973</v>
      </c>
      <c r="L183" s="47">
        <f t="shared" si="131"/>
        <v>-3943.0870568699984</v>
      </c>
      <c r="M183" s="47">
        <f t="shared" si="132"/>
        <v>28658.972386829992</v>
      </c>
      <c r="N183" s="47">
        <f t="shared" si="133"/>
        <v>19202.632392629996</v>
      </c>
      <c r="O183" s="34"/>
      <c r="P183" s="36">
        <f t="shared" si="127"/>
        <v>0</v>
      </c>
      <c r="Q183" s="35"/>
      <c r="R183" s="33"/>
      <c r="S183" s="43"/>
      <c r="T183" s="19"/>
      <c r="U183" s="27">
        <f t="shared" si="134"/>
        <v>28658.972386829992</v>
      </c>
      <c r="V183" s="28">
        <f t="shared" si="135"/>
        <v>19202.632392629996</v>
      </c>
      <c r="W183" s="43"/>
      <c r="X183" s="19"/>
      <c r="Y183" s="42">
        <f t="shared" si="105"/>
        <v>0</v>
      </c>
      <c r="Z183" s="42">
        <f t="shared" si="106"/>
        <v>0</v>
      </c>
      <c r="AA183" s="96" t="e">
        <f t="shared" si="107"/>
        <v>#DIV/0!</v>
      </c>
      <c r="AB183" s="96" t="e">
        <f t="shared" si="108"/>
        <v>#DIV/0!</v>
      </c>
    </row>
    <row r="184" spans="1:28" hidden="1" outlineLevel="1" x14ac:dyDescent="0.25">
      <c r="A184" s="18"/>
      <c r="B184" s="38">
        <f t="shared" si="136"/>
        <v>5</v>
      </c>
      <c r="C184" s="54">
        <f t="shared" si="128"/>
        <v>126.51049451699997</v>
      </c>
      <c r="D184" s="33">
        <f>C184*VLOOKUP($A$180,Ταρίφες!$A$6:$G$23,$K$6,FALSE)*(1+$F$3)^(B184-1)</f>
        <v>46176.330498704992</v>
      </c>
      <c r="E184" s="33">
        <f>C184*VLOOKUP($A$180,Ταρίφες!$A$6:$G$23,$K$7,FALSE)*(1+$F$3)^(B184-1)</f>
        <v>33525.281047004995</v>
      </c>
      <c r="F184" s="46">
        <f t="shared" si="123"/>
        <v>-2164.8643200000001</v>
      </c>
      <c r="G184" s="47">
        <f t="shared" si="124"/>
        <v>-865.94572800000003</v>
      </c>
      <c r="H184" s="47">
        <f t="shared" si="125"/>
        <v>-3030.8100479999998</v>
      </c>
      <c r="I184" s="46">
        <f t="shared" si="126"/>
        <v>-4870.9447199999995</v>
      </c>
      <c r="J184" s="47">
        <f t="shared" si="129"/>
        <v>-7980</v>
      </c>
      <c r="K184" s="47">
        <f t="shared" si="130"/>
        <v>-7088.5790775032983</v>
      </c>
      <c r="L184" s="47">
        <f t="shared" si="131"/>
        <v>-3799.3062200612994</v>
      </c>
      <c r="M184" s="47">
        <f t="shared" si="132"/>
        <v>28155.186605201696</v>
      </c>
      <c r="N184" s="47">
        <f t="shared" si="133"/>
        <v>18793.410010943699</v>
      </c>
      <c r="O184" s="34"/>
      <c r="P184" s="36">
        <f t="shared" si="127"/>
        <v>0</v>
      </c>
      <c r="Q184" s="35"/>
      <c r="R184" s="33"/>
      <c r="S184" s="43"/>
      <c r="T184" s="19"/>
      <c r="U184" s="27">
        <f t="shared" si="134"/>
        <v>28155.186605201696</v>
      </c>
      <c r="V184" s="28">
        <f t="shared" si="135"/>
        <v>18793.410010943699</v>
      </c>
      <c r="W184" s="43"/>
      <c r="X184" s="19"/>
      <c r="Y184" s="42">
        <f t="shared" si="105"/>
        <v>0</v>
      </c>
      <c r="Z184" s="42">
        <f t="shared" si="106"/>
        <v>0</v>
      </c>
      <c r="AA184" s="96" t="e">
        <f t="shared" si="107"/>
        <v>#DIV/0!</v>
      </c>
      <c r="AB184" s="96" t="e">
        <f t="shared" si="108"/>
        <v>#DIV/0!</v>
      </c>
    </row>
    <row r="185" spans="1:28" hidden="1" outlineLevel="1" x14ac:dyDescent="0.25">
      <c r="A185" s="18"/>
      <c r="B185" s="38">
        <f t="shared" si="136"/>
        <v>6</v>
      </c>
      <c r="C185" s="54">
        <f t="shared" si="128"/>
        <v>125.24538957182997</v>
      </c>
      <c r="D185" s="33">
        <f>C185*VLOOKUP($A$180,Ταρίφες!$A$6:$G$23,$K$6,FALSE)*(1+$F$3)^(B185-1)</f>
        <v>45714.567193717943</v>
      </c>
      <c r="E185" s="33">
        <f>C185*VLOOKUP($A$180,Ταρίφες!$A$6:$G$23,$K$7,FALSE)*(1+$F$3)^(B185-1)</f>
        <v>33190.028236534941</v>
      </c>
      <c r="F185" s="46">
        <f t="shared" si="123"/>
        <v>-2208.1616064</v>
      </c>
      <c r="G185" s="47">
        <f t="shared" si="124"/>
        <v>-883.26464255999997</v>
      </c>
      <c r="H185" s="47">
        <f t="shared" si="125"/>
        <v>-3091.4262489600001</v>
      </c>
      <c r="I185" s="46">
        <f t="shared" si="126"/>
        <v>-4968.3636144000002</v>
      </c>
      <c r="J185" s="47">
        <f t="shared" si="129"/>
        <v>-7980</v>
      </c>
      <c r="K185" s="47">
        <f t="shared" si="130"/>
        <v>-6911.6712811634661</v>
      </c>
      <c r="L185" s="47">
        <f t="shared" si="131"/>
        <v>-3655.2911522958852</v>
      </c>
      <c r="M185" s="47">
        <f t="shared" si="132"/>
        <v>27651.67980023448</v>
      </c>
      <c r="N185" s="47">
        <f t="shared" si="133"/>
        <v>18383.520971919057</v>
      </c>
      <c r="O185" s="34"/>
      <c r="P185" s="36">
        <f t="shared" si="127"/>
        <v>0</v>
      </c>
      <c r="Q185" s="35"/>
      <c r="R185" s="33"/>
      <c r="S185" s="43"/>
      <c r="T185" s="19"/>
      <c r="U185" s="27">
        <f t="shared" si="134"/>
        <v>27651.67980023448</v>
      </c>
      <c r="V185" s="28">
        <f t="shared" si="135"/>
        <v>18383.520971919057</v>
      </c>
      <c r="W185" s="43"/>
      <c r="X185" s="19"/>
      <c r="Y185" s="42">
        <f t="shared" si="105"/>
        <v>0</v>
      </c>
      <c r="Z185" s="42">
        <f t="shared" si="106"/>
        <v>0</v>
      </c>
      <c r="AA185" s="96" t="e">
        <f t="shared" si="107"/>
        <v>#DIV/0!</v>
      </c>
      <c r="AB185" s="96" t="e">
        <f t="shared" si="108"/>
        <v>#DIV/0!</v>
      </c>
    </row>
    <row r="186" spans="1:28" hidden="1" outlineLevel="1" x14ac:dyDescent="0.25">
      <c r="A186" s="18"/>
      <c r="B186" s="38">
        <f t="shared" si="136"/>
        <v>7</v>
      </c>
      <c r="C186" s="54">
        <f t="shared" si="128"/>
        <v>123.99293567611167</v>
      </c>
      <c r="D186" s="33">
        <f>C186*VLOOKUP($A$180,Ταρίφες!$A$6:$G$23,$K$6,FALSE)*(1+$F$3)^(B186-1)</f>
        <v>45257.421521780758</v>
      </c>
      <c r="E186" s="33">
        <f>C186*VLOOKUP($A$180,Ταρίφες!$A$6:$G$23,$K$7,FALSE)*(1+$F$3)^(B186-1)</f>
        <v>32858.127954169591</v>
      </c>
      <c r="F186" s="46">
        <f t="shared" si="123"/>
        <v>-2252.3248385280003</v>
      </c>
      <c r="G186" s="47">
        <f t="shared" si="124"/>
        <v>-900.92993541120006</v>
      </c>
      <c r="H186" s="47">
        <f t="shared" si="125"/>
        <v>-3153.2547739392003</v>
      </c>
      <c r="I186" s="46">
        <f t="shared" si="126"/>
        <v>-5067.7308866880003</v>
      </c>
      <c r="J186" s="47">
        <f t="shared" si="129"/>
        <v>-7980</v>
      </c>
      <c r="K186" s="47">
        <f t="shared" si="130"/>
        <v>-6734.8270826757334</v>
      </c>
      <c r="L186" s="47">
        <f t="shared" si="131"/>
        <v>-3511.0107550968301</v>
      </c>
      <c r="M186" s="47">
        <f t="shared" si="132"/>
        <v>27148.354004538622</v>
      </c>
      <c r="N186" s="47">
        <f t="shared" si="133"/>
        <v>17972.87676450636</v>
      </c>
      <c r="O186" s="34"/>
      <c r="P186" s="36">
        <f t="shared" si="127"/>
        <v>0</v>
      </c>
      <c r="Q186" s="35"/>
      <c r="R186" s="33"/>
      <c r="S186" s="43"/>
      <c r="T186" s="19"/>
      <c r="U186" s="27">
        <f t="shared" si="134"/>
        <v>27148.354004538622</v>
      </c>
      <c r="V186" s="28">
        <f t="shared" si="135"/>
        <v>17972.87676450636</v>
      </c>
      <c r="W186" s="43"/>
      <c r="X186" s="19"/>
      <c r="Y186" s="42">
        <f t="shared" si="105"/>
        <v>0</v>
      </c>
      <c r="Z186" s="42">
        <f t="shared" si="106"/>
        <v>0</v>
      </c>
      <c r="AA186" s="96" t="e">
        <f t="shared" si="107"/>
        <v>#DIV/0!</v>
      </c>
      <c r="AB186" s="96" t="e">
        <f t="shared" si="108"/>
        <v>#DIV/0!</v>
      </c>
    </row>
    <row r="187" spans="1:28" hidden="1" outlineLevel="1" x14ac:dyDescent="0.25">
      <c r="A187" s="18"/>
      <c r="B187" s="38">
        <f t="shared" si="136"/>
        <v>8</v>
      </c>
      <c r="C187" s="54">
        <f t="shared" si="128"/>
        <v>122.75300631935055</v>
      </c>
      <c r="D187" s="33">
        <f>C187*VLOOKUP($A$180,Ταρίφες!$A$6:$G$23,$K$6,FALSE)*(1+$F$3)^(B187-1)</f>
        <v>44804.847306562951</v>
      </c>
      <c r="E187" s="33">
        <f>C187*VLOOKUP($A$180,Ταρίφες!$A$6:$G$23,$K$7,FALSE)*(1+$F$3)^(B187-1)</f>
        <v>32529.546674627894</v>
      </c>
      <c r="F187" s="46">
        <f t="shared" si="123"/>
        <v>-2297.3713352985596</v>
      </c>
      <c r="G187" s="47">
        <f t="shared" si="124"/>
        <v>-918.94853411942381</v>
      </c>
      <c r="H187" s="47">
        <f t="shared" si="125"/>
        <v>-3216.3198694179837</v>
      </c>
      <c r="I187" s="46">
        <f t="shared" si="126"/>
        <v>-5169.0855044217587</v>
      </c>
      <c r="J187" s="47">
        <f t="shared" si="129"/>
        <v>-7980</v>
      </c>
      <c r="K187" s="47">
        <f t="shared" si="130"/>
        <v>-6558.0117364593589</v>
      </c>
      <c r="L187" s="47">
        <f t="shared" si="131"/>
        <v>-3366.4335721562438</v>
      </c>
      <c r="M187" s="47">
        <f t="shared" si="132"/>
        <v>26645.110326845868</v>
      </c>
      <c r="N187" s="47">
        <f t="shared" si="133"/>
        <v>17561.387859213923</v>
      </c>
      <c r="O187" s="34"/>
      <c r="P187" s="36">
        <f t="shared" si="127"/>
        <v>0</v>
      </c>
      <c r="Q187" s="35"/>
      <c r="R187" s="33"/>
      <c r="S187" s="43"/>
      <c r="T187" s="19"/>
      <c r="U187" s="27">
        <f t="shared" si="134"/>
        <v>26645.110326845868</v>
      </c>
      <c r="V187" s="28">
        <f t="shared" si="135"/>
        <v>17561.387859213923</v>
      </c>
      <c r="W187" s="43"/>
      <c r="X187" s="19"/>
      <c r="Y187" s="42">
        <f t="shared" si="105"/>
        <v>0</v>
      </c>
      <c r="Z187" s="42">
        <f t="shared" si="106"/>
        <v>0</v>
      </c>
      <c r="AA187" s="96" t="e">
        <f t="shared" si="107"/>
        <v>#DIV/0!</v>
      </c>
      <c r="AB187" s="96" t="e">
        <f t="shared" si="108"/>
        <v>#DIV/0!</v>
      </c>
    </row>
    <row r="188" spans="1:28" hidden="1" outlineLevel="1" x14ac:dyDescent="0.25">
      <c r="A188" s="18"/>
      <c r="B188" s="38">
        <f t="shared" si="136"/>
        <v>9</v>
      </c>
      <c r="C188" s="54">
        <f t="shared" si="128"/>
        <v>121.52547625615703</v>
      </c>
      <c r="D188" s="33">
        <f>C188*VLOOKUP($A$180,Ταρίφες!$A$6:$G$23,$K$6,FALSE)*(1+$F$3)^(B188-1)</f>
        <v>44356.79883349732</v>
      </c>
      <c r="E188" s="33">
        <f>C188*VLOOKUP($A$180,Ταρίφες!$A$6:$G$23,$K$7,FALSE)*(1+$F$3)^(B188-1)</f>
        <v>32204.251207881614</v>
      </c>
      <c r="F188" s="46">
        <f t="shared" si="123"/>
        <v>-2343.318762004531</v>
      </c>
      <c r="G188" s="47">
        <f t="shared" si="124"/>
        <v>-937.32750480181244</v>
      </c>
      <c r="H188" s="47">
        <f t="shared" si="125"/>
        <v>-3280.6462668063436</v>
      </c>
      <c r="I188" s="46">
        <f t="shared" si="126"/>
        <v>-5272.4672145101949</v>
      </c>
      <c r="J188" s="47">
        <f t="shared" si="129"/>
        <v>-7980</v>
      </c>
      <c r="K188" s="47">
        <f t="shared" si="130"/>
        <v>-6381.1901621973548</v>
      </c>
      <c r="L188" s="47">
        <f t="shared" si="131"/>
        <v>-3221.5277795372708</v>
      </c>
      <c r="M188" s="47">
        <f t="shared" si="132"/>
        <v>26141.848923177084</v>
      </c>
      <c r="N188" s="47">
        <f t="shared" si="133"/>
        <v>17148.963680221463</v>
      </c>
      <c r="O188" s="34"/>
      <c r="P188" s="36">
        <f t="shared" si="127"/>
        <v>0</v>
      </c>
      <c r="Q188" s="35"/>
      <c r="R188" s="33"/>
      <c r="S188" s="43"/>
      <c r="T188" s="19"/>
      <c r="U188" s="27">
        <f t="shared" si="134"/>
        <v>26141.848923177084</v>
      </c>
      <c r="V188" s="28">
        <f t="shared" si="135"/>
        <v>17148.963680221463</v>
      </c>
      <c r="W188" s="43"/>
      <c r="X188" s="19"/>
      <c r="Y188" s="42">
        <f t="shared" si="105"/>
        <v>0</v>
      </c>
      <c r="Z188" s="42">
        <f t="shared" si="106"/>
        <v>0</v>
      </c>
      <c r="AA188" s="96" t="e">
        <f t="shared" si="107"/>
        <v>#DIV/0!</v>
      </c>
      <c r="AB188" s="96" t="e">
        <f t="shared" si="108"/>
        <v>#DIV/0!</v>
      </c>
    </row>
    <row r="189" spans="1:28" hidden="1" outlineLevel="1" x14ac:dyDescent="0.25">
      <c r="A189" s="18"/>
      <c r="B189" s="38">
        <f t="shared" si="136"/>
        <v>10</v>
      </c>
      <c r="C189" s="54">
        <f t="shared" si="128"/>
        <v>120.31022149359546</v>
      </c>
      <c r="D189" s="33">
        <f>C189*VLOOKUP($A$180,Ταρίφες!$A$6:$G$23,$K$6,FALSE)*(1+$F$3)^(B189-1)</f>
        <v>43913.230845162347</v>
      </c>
      <c r="E189" s="33">
        <f>C189*VLOOKUP($A$180,Ταρίφες!$A$6:$G$23,$K$7,FALSE)*(1+$F$3)^(B189-1)</f>
        <v>31882.208695802798</v>
      </c>
      <c r="F189" s="46">
        <f t="shared" si="123"/>
        <v>-2390.1851372446217</v>
      </c>
      <c r="G189" s="47">
        <f t="shared" si="124"/>
        <v>-956.07405489784867</v>
      </c>
      <c r="H189" s="47">
        <f t="shared" si="125"/>
        <v>-3346.2591921424705</v>
      </c>
      <c r="I189" s="46">
        <f t="shared" si="126"/>
        <v>-5377.9165588003989</v>
      </c>
      <c r="J189" s="47">
        <f t="shared" si="129"/>
        <v>-7980</v>
      </c>
      <c r="K189" s="47">
        <f t="shared" si="130"/>
        <v>-6204.3269345400222</v>
      </c>
      <c r="L189" s="47">
        <f t="shared" si="131"/>
        <v>-3076.2611757065392</v>
      </c>
      <c r="M189" s="47">
        <f t="shared" si="132"/>
        <v>25638.468967536985</v>
      </c>
      <c r="N189" s="47">
        <f t="shared" si="133"/>
        <v>16735.512577010919</v>
      </c>
      <c r="O189" s="34"/>
      <c r="P189" s="36">
        <f t="shared" si="127"/>
        <v>0</v>
      </c>
      <c r="Q189" s="35"/>
      <c r="R189" s="33"/>
      <c r="S189" s="43"/>
      <c r="T189" s="19"/>
      <c r="U189" s="27">
        <f t="shared" si="134"/>
        <v>25638.468967536985</v>
      </c>
      <c r="V189" s="28">
        <f t="shared" si="135"/>
        <v>16735.512577010919</v>
      </c>
      <c r="W189" s="43"/>
      <c r="X189" s="19"/>
      <c r="Y189" s="42">
        <f t="shared" si="105"/>
        <v>0</v>
      </c>
      <c r="Z189" s="42">
        <f t="shared" si="106"/>
        <v>0</v>
      </c>
      <c r="AA189" s="96" t="e">
        <f t="shared" si="107"/>
        <v>#DIV/0!</v>
      </c>
      <c r="AB189" s="96" t="e">
        <f t="shared" si="108"/>
        <v>#DIV/0!</v>
      </c>
    </row>
    <row r="190" spans="1:28" hidden="1" outlineLevel="1" x14ac:dyDescent="0.25">
      <c r="A190" s="18"/>
      <c r="B190" s="38">
        <f t="shared" si="136"/>
        <v>11</v>
      </c>
      <c r="C190" s="54">
        <f t="shared" si="128"/>
        <v>119.10711927865951</v>
      </c>
      <c r="D190" s="33">
        <f>C190*VLOOKUP($A$180,Ταρίφες!$A$6:$G$23,$K$6,FALSE)*(1+$F$3)^(B190-1)</f>
        <v>43474.098536710721</v>
      </c>
      <c r="E190" s="33">
        <f>C190*VLOOKUP($A$180,Ταρίφες!$A$6:$G$23,$K$7,FALSE)*(1+$F$3)^(B190-1)</f>
        <v>31563.386608844768</v>
      </c>
      <c r="F190" s="46">
        <f t="shared" si="123"/>
        <v>-2437.9888399895144</v>
      </c>
      <c r="G190" s="47">
        <f t="shared" si="124"/>
        <v>-975.1955359958057</v>
      </c>
      <c r="H190" s="47">
        <f t="shared" si="125"/>
        <v>-3413.18437598532</v>
      </c>
      <c r="I190" s="46">
        <f t="shared" si="126"/>
        <v>-5485.4748899764072</v>
      </c>
      <c r="J190" s="47">
        <f t="shared" si="129"/>
        <v>-7980</v>
      </c>
      <c r="K190" s="47">
        <f t="shared" si="130"/>
        <v>-6027.386272638556</v>
      </c>
      <c r="L190" s="47">
        <f t="shared" si="131"/>
        <v>-2930.6011713934081</v>
      </c>
      <c r="M190" s="47">
        <f t="shared" si="132"/>
        <v>25134.868622125119</v>
      </c>
      <c r="N190" s="47">
        <f t="shared" si="133"/>
        <v>16320.941795504315</v>
      </c>
      <c r="O190" s="34"/>
      <c r="P190" s="36">
        <f t="shared" si="127"/>
        <v>0</v>
      </c>
      <c r="Q190" s="35"/>
      <c r="R190" s="33"/>
      <c r="S190" s="43"/>
      <c r="T190" s="19"/>
      <c r="U190" s="27">
        <f t="shared" si="134"/>
        <v>25134.868622125119</v>
      </c>
      <c r="V190" s="28">
        <f t="shared" si="135"/>
        <v>16320.941795504315</v>
      </c>
      <c r="W190" s="43"/>
      <c r="X190" s="19"/>
      <c r="Y190" s="42">
        <f t="shared" si="105"/>
        <v>0</v>
      </c>
      <c r="Z190" s="42">
        <f t="shared" si="106"/>
        <v>0</v>
      </c>
      <c r="AA190" s="96" t="e">
        <f t="shared" si="107"/>
        <v>#DIV/0!</v>
      </c>
      <c r="AB190" s="96" t="e">
        <f t="shared" si="108"/>
        <v>#DIV/0!</v>
      </c>
    </row>
    <row r="191" spans="1:28" hidden="1" outlineLevel="1" x14ac:dyDescent="0.25">
      <c r="A191" s="18"/>
      <c r="B191" s="38">
        <f t="shared" si="136"/>
        <v>12</v>
      </c>
      <c r="C191" s="54">
        <f t="shared" si="128"/>
        <v>117.91604808587292</v>
      </c>
      <c r="D191" s="33">
        <f>C191*VLOOKUP($A$180,Ταρίφες!$A$6:$G$23,$K$6,FALSE)*(1+$F$3)^(B191-1)</f>
        <v>43039.357551343615</v>
      </c>
      <c r="E191" s="33">
        <f>C191*VLOOKUP($A$180,Ταρίφες!$A$6:$G$23,$K$7,FALSE)*(1+$F$3)^(B191-1)</f>
        <v>31247.752742756322</v>
      </c>
      <c r="F191" s="46">
        <f t="shared" si="123"/>
        <v>-2486.7486167893039</v>
      </c>
      <c r="G191" s="47">
        <f t="shared" si="124"/>
        <v>-994.69944671572159</v>
      </c>
      <c r="H191" s="47">
        <f t="shared" si="125"/>
        <v>-3481.4480635050259</v>
      </c>
      <c r="I191" s="46">
        <f t="shared" si="126"/>
        <v>-5595.1843877759338</v>
      </c>
      <c r="J191" s="47">
        <f t="shared" si="129"/>
        <v>-7980</v>
      </c>
      <c r="K191" s="47">
        <f t="shared" si="130"/>
        <v>-5850.3320295049834</v>
      </c>
      <c r="L191" s="47">
        <f t="shared" si="131"/>
        <v>-2784.5147792722873</v>
      </c>
      <c r="M191" s="47">
        <f t="shared" si="132"/>
        <v>24630.945007052644</v>
      </c>
      <c r="N191" s="47">
        <f t="shared" si="133"/>
        <v>15905.157448698048</v>
      </c>
      <c r="O191" s="34"/>
      <c r="P191" s="36">
        <f t="shared" si="127"/>
        <v>0</v>
      </c>
      <c r="Q191" s="35"/>
      <c r="R191" s="33"/>
      <c r="S191" s="43"/>
      <c r="T191" s="19"/>
      <c r="U191" s="27">
        <f t="shared" si="134"/>
        <v>24630.945007052644</v>
      </c>
      <c r="V191" s="28">
        <f t="shared" si="135"/>
        <v>15905.157448698048</v>
      </c>
      <c r="W191" s="43"/>
      <c r="X191" s="19"/>
      <c r="Y191" s="42">
        <f t="shared" si="105"/>
        <v>0</v>
      </c>
      <c r="Z191" s="42">
        <f t="shared" si="106"/>
        <v>0</v>
      </c>
      <c r="AA191" s="96" t="e">
        <f t="shared" si="107"/>
        <v>#DIV/0!</v>
      </c>
      <c r="AB191" s="96" t="e">
        <f t="shared" si="108"/>
        <v>#DIV/0!</v>
      </c>
    </row>
    <row r="192" spans="1:28" hidden="1" outlineLevel="1" x14ac:dyDescent="0.25">
      <c r="A192" s="18"/>
      <c r="B192" s="38">
        <f t="shared" si="136"/>
        <v>13</v>
      </c>
      <c r="C192" s="54">
        <f t="shared" si="128"/>
        <v>116.73688760501419</v>
      </c>
      <c r="D192" s="33">
        <f>C192*VLOOKUP($A$180,Ταρίφες!$A$6:$G$23,$K$6,FALSE)*(1+$F$3)^(B192-1)</f>
        <v>42608.963975830178</v>
      </c>
      <c r="E192" s="33">
        <f>C192*VLOOKUP($A$180,Ταρίφες!$A$6:$G$23,$K$7,FALSE)*(1+$F$3)^(B192-1)</f>
        <v>30935.275215328758</v>
      </c>
      <c r="F192" s="46">
        <f t="shared" si="123"/>
        <v>-2536.4835891250905</v>
      </c>
      <c r="G192" s="47">
        <f t="shared" si="124"/>
        <v>-1014.5934356500362</v>
      </c>
      <c r="H192" s="47">
        <f t="shared" si="125"/>
        <v>-3551.0770247751266</v>
      </c>
      <c r="I192" s="46">
        <f t="shared" si="126"/>
        <v>-5707.0880755314538</v>
      </c>
      <c r="J192" s="47">
        <f t="shared" si="129"/>
        <v>-7980</v>
      </c>
      <c r="K192" s="47">
        <f t="shared" si="130"/>
        <v>-5673.1276811946027</v>
      </c>
      <c r="L192" s="47">
        <f t="shared" si="131"/>
        <v>-2637.9686034642336</v>
      </c>
      <c r="M192" s="47">
        <f t="shared" si="132"/>
        <v>24126.594169553871</v>
      </c>
      <c r="N192" s="47">
        <f t="shared" si="133"/>
        <v>15488.06448678282</v>
      </c>
      <c r="O192" s="34"/>
      <c r="P192" s="36">
        <f t="shared" si="127"/>
        <v>0</v>
      </c>
      <c r="Q192" s="35"/>
      <c r="R192" s="33"/>
      <c r="S192" s="43"/>
      <c r="T192" s="19"/>
      <c r="U192" s="27">
        <f t="shared" si="134"/>
        <v>24126.594169553871</v>
      </c>
      <c r="V192" s="28">
        <f t="shared" si="135"/>
        <v>15488.06448678282</v>
      </c>
      <c r="W192" s="43"/>
      <c r="X192" s="19"/>
      <c r="Y192" s="42">
        <f t="shared" si="105"/>
        <v>0</v>
      </c>
      <c r="Z192" s="42">
        <f t="shared" si="106"/>
        <v>0</v>
      </c>
      <c r="AA192" s="96" t="e">
        <f t="shared" si="107"/>
        <v>#DIV/0!</v>
      </c>
      <c r="AB192" s="96" t="e">
        <f t="shared" si="108"/>
        <v>#DIV/0!</v>
      </c>
    </row>
    <row r="193" spans="1:28" hidden="1" outlineLevel="1" x14ac:dyDescent="0.25">
      <c r="A193" s="18"/>
      <c r="B193" s="38">
        <f t="shared" si="136"/>
        <v>14</v>
      </c>
      <c r="C193" s="54">
        <f t="shared" si="128"/>
        <v>115.56951872896404</v>
      </c>
      <c r="D193" s="33">
        <f>C193*VLOOKUP($A$180,Ταρίφες!$A$6:$G$23,$K$6,FALSE)*(1+$F$3)^(B193-1)</f>
        <v>42182.874336071873</v>
      </c>
      <c r="E193" s="33">
        <f>C193*VLOOKUP($A$180,Ταρίφες!$A$6:$G$23,$K$7,FALSE)*(1+$F$3)^(B193-1)</f>
        <v>30625.92246317547</v>
      </c>
      <c r="F193" s="46">
        <f t="shared" si="123"/>
        <v>-2587.213260907592</v>
      </c>
      <c r="G193" s="47">
        <f t="shared" si="124"/>
        <v>-1034.8853043630368</v>
      </c>
      <c r="H193" s="47">
        <f t="shared" si="125"/>
        <v>-3622.098565270629</v>
      </c>
      <c r="I193" s="46">
        <f t="shared" si="126"/>
        <v>-5821.2298370420822</v>
      </c>
      <c r="J193" s="47">
        <f t="shared" si="129"/>
        <v>-7980</v>
      </c>
      <c r="K193" s="47">
        <f t="shared" si="130"/>
        <v>-5495.7363158070193</v>
      </c>
      <c r="L193" s="47">
        <f t="shared" si="131"/>
        <v>-2490.9288288539542</v>
      </c>
      <c r="M193" s="47">
        <f t="shared" si="132"/>
        <v>23621.711052681516</v>
      </c>
      <c r="N193" s="47">
        <f t="shared" si="133"/>
        <v>15069.566666738177</v>
      </c>
      <c r="O193" s="34"/>
      <c r="P193" s="36">
        <f t="shared" si="127"/>
        <v>0</v>
      </c>
      <c r="Q193" s="35"/>
      <c r="R193" s="33"/>
      <c r="S193" s="43"/>
      <c r="T193" s="19"/>
      <c r="U193" s="27">
        <f t="shared" si="134"/>
        <v>23621.711052681516</v>
      </c>
      <c r="V193" s="28">
        <f t="shared" si="135"/>
        <v>15069.566666738177</v>
      </c>
      <c r="W193" s="43"/>
      <c r="X193" s="19"/>
      <c r="Y193" s="42">
        <f t="shared" si="105"/>
        <v>0</v>
      </c>
      <c r="Z193" s="42">
        <f t="shared" si="106"/>
        <v>0</v>
      </c>
      <c r="AA193" s="96" t="e">
        <f t="shared" si="107"/>
        <v>#DIV/0!</v>
      </c>
      <c r="AB193" s="96" t="e">
        <f t="shared" si="108"/>
        <v>#DIV/0!</v>
      </c>
    </row>
    <row r="194" spans="1:28" hidden="1" outlineLevel="1" x14ac:dyDescent="0.25">
      <c r="A194" s="18"/>
      <c r="B194" s="38">
        <f t="shared" si="136"/>
        <v>15</v>
      </c>
      <c r="C194" s="54">
        <f t="shared" si="128"/>
        <v>114.4138235416744</v>
      </c>
      <c r="D194" s="33">
        <f>C194*VLOOKUP($A$180,Ταρίφες!$A$6:$G$23,$K$6,FALSE)*(1+$F$3)^(B194-1)</f>
        <v>41761.045592711154</v>
      </c>
      <c r="E194" s="33">
        <f>C194*VLOOKUP($A$180,Ταρίφες!$A$6:$G$23,$K$7,FALSE)*(1+$F$3)^(B194-1)</f>
        <v>30319.663238543719</v>
      </c>
      <c r="F194" s="46">
        <f t="shared" si="123"/>
        <v>-2638.9575261257442</v>
      </c>
      <c r="G194" s="47">
        <f t="shared" si="124"/>
        <v>-1055.5830104502977</v>
      </c>
      <c r="H194" s="47">
        <f t="shared" si="125"/>
        <v>-3694.5405365760421</v>
      </c>
      <c r="I194" s="46">
        <f t="shared" si="126"/>
        <v>-5937.6544337829246</v>
      </c>
      <c r="J194" s="47">
        <f t="shared" si="129"/>
        <v>-7980</v>
      </c>
      <c r="K194" s="47">
        <f t="shared" si="130"/>
        <v>-5318.120622301798</v>
      </c>
      <c r="L194" s="47">
        <f t="shared" si="131"/>
        <v>-2343.3612102182647</v>
      </c>
      <c r="M194" s="47">
        <f t="shared" si="132"/>
        <v>23116.189463474348</v>
      </c>
      <c r="N194" s="47">
        <f t="shared" si="133"/>
        <v>14649.566521390445</v>
      </c>
      <c r="O194" s="34"/>
      <c r="P194" s="36">
        <f t="shared" si="127"/>
        <v>0</v>
      </c>
      <c r="Q194" s="35"/>
      <c r="R194" s="33"/>
      <c r="S194" s="43"/>
      <c r="T194" s="19"/>
      <c r="U194" s="27">
        <f t="shared" si="134"/>
        <v>23116.189463474348</v>
      </c>
      <c r="V194" s="28">
        <f t="shared" si="135"/>
        <v>14649.566521390445</v>
      </c>
      <c r="W194" s="43"/>
      <c r="X194" s="19"/>
      <c r="Y194" s="42">
        <f t="shared" si="105"/>
        <v>0</v>
      </c>
      <c r="Z194" s="42">
        <f t="shared" si="106"/>
        <v>0</v>
      </c>
      <c r="AA194" s="96" t="e">
        <f t="shared" si="107"/>
        <v>#DIV/0!</v>
      </c>
      <c r="AB194" s="96" t="e">
        <f t="shared" si="108"/>
        <v>#DIV/0!</v>
      </c>
    </row>
    <row r="195" spans="1:28" hidden="1" outlineLevel="1" x14ac:dyDescent="0.25">
      <c r="A195" s="18"/>
      <c r="B195" s="38">
        <f t="shared" si="136"/>
        <v>16</v>
      </c>
      <c r="C195" s="54">
        <f t="shared" si="128"/>
        <v>113.26968530625766</v>
      </c>
      <c r="D195" s="33">
        <f>C195*VLOOKUP($A$180,Ταρίφες!$A$6:$G$23,$K$6,FALSE)*(1+$F$3)^(B195-1)</f>
        <v>41343.435136784043</v>
      </c>
      <c r="E195" s="33">
        <f>C195*VLOOKUP($A$180,Ταρίφες!$A$6:$G$23,$K$7,FALSE)*(1+$F$3)^(B195-1)</f>
        <v>30016.466606158279</v>
      </c>
      <c r="F195" s="46">
        <f t="shared" si="123"/>
        <v>-2691.7366766482583</v>
      </c>
      <c r="G195" s="47">
        <f t="shared" si="124"/>
        <v>-1076.6946706593035</v>
      </c>
      <c r="H195" s="47">
        <f t="shared" si="125"/>
        <v>-3768.4313473075617</v>
      </c>
      <c r="I195" s="46">
        <f t="shared" si="126"/>
        <v>-6056.4075224585813</v>
      </c>
      <c r="J195" s="47">
        <f t="shared" si="129"/>
        <v>-7980</v>
      </c>
      <c r="K195" s="47">
        <f t="shared" si="130"/>
        <v>-5140.2428791246884</v>
      </c>
      <c r="L195" s="47">
        <f t="shared" si="131"/>
        <v>-2195.2310611619901</v>
      </c>
      <c r="M195" s="47">
        <f t="shared" si="132"/>
        <v>22609.92204058565</v>
      </c>
      <c r="N195" s="47">
        <f t="shared" si="133"/>
        <v>14227.965327922582</v>
      </c>
      <c r="O195" s="34"/>
      <c r="P195" s="36">
        <f t="shared" si="127"/>
        <v>0</v>
      </c>
      <c r="Q195" s="35"/>
      <c r="R195" s="33"/>
      <c r="S195" s="43"/>
      <c r="T195" s="19"/>
      <c r="U195" s="27">
        <f t="shared" si="134"/>
        <v>22609.92204058565</v>
      </c>
      <c r="V195" s="28">
        <f t="shared" si="135"/>
        <v>14227.965327922582</v>
      </c>
      <c r="W195" s="43"/>
      <c r="X195" s="19"/>
      <c r="Y195" s="42">
        <f t="shared" si="105"/>
        <v>0</v>
      </c>
      <c r="Z195" s="42">
        <f t="shared" si="106"/>
        <v>0</v>
      </c>
      <c r="AA195" s="96" t="e">
        <f t="shared" si="107"/>
        <v>#DIV/0!</v>
      </c>
      <c r="AB195" s="96" t="e">
        <f t="shared" si="108"/>
        <v>#DIV/0!</v>
      </c>
    </row>
    <row r="196" spans="1:28" hidden="1" outlineLevel="1" x14ac:dyDescent="0.25">
      <c r="A196" s="18"/>
      <c r="B196" s="38">
        <f t="shared" si="136"/>
        <v>17</v>
      </c>
      <c r="C196" s="54">
        <f t="shared" si="128"/>
        <v>112.13698845319507</v>
      </c>
      <c r="D196" s="33">
        <f>C196*VLOOKUP($A$180,Ταρίφες!$A$6:$G$23,$K$6,FALSE)*(1+$F$3)^(B196-1)</f>
        <v>40930.000785416203</v>
      </c>
      <c r="E196" s="33">
        <f>C196*VLOOKUP($A$180,Ταρίφες!$A$6:$G$23,$K$7,FALSE)*(1+$F$3)^(B196-1)</f>
        <v>29716.301940096695</v>
      </c>
      <c r="F196" s="46">
        <f t="shared" si="123"/>
        <v>-2745.5714101812241</v>
      </c>
      <c r="G196" s="47">
        <f t="shared" si="124"/>
        <v>-1098.2285640724897</v>
      </c>
      <c r="H196" s="47">
        <f t="shared" si="125"/>
        <v>-3843.7999742537136</v>
      </c>
      <c r="I196" s="46">
        <f t="shared" si="126"/>
        <v>-6177.5356729077539</v>
      </c>
      <c r="J196" s="47">
        <f t="shared" si="129"/>
        <v>-7980</v>
      </c>
      <c r="K196" s="47">
        <f t="shared" si="130"/>
        <v>-4962.0649426402661</v>
      </c>
      <c r="L196" s="47">
        <f t="shared" si="131"/>
        <v>-2046.5032428571935</v>
      </c>
      <c r="M196" s="47">
        <f t="shared" si="132"/>
        <v>22102.800221360754</v>
      </c>
      <c r="N196" s="47">
        <f t="shared" si="133"/>
        <v>13804.663075824319</v>
      </c>
      <c r="O196" s="34"/>
      <c r="P196" s="36">
        <f t="shared" si="127"/>
        <v>0</v>
      </c>
      <c r="Q196" s="35"/>
      <c r="R196" s="33"/>
      <c r="S196" s="43"/>
      <c r="T196" s="19"/>
      <c r="U196" s="27">
        <f t="shared" si="134"/>
        <v>22102.800221360754</v>
      </c>
      <c r="V196" s="28">
        <f t="shared" si="135"/>
        <v>13804.663075824319</v>
      </c>
      <c r="W196" s="43"/>
      <c r="X196" s="19"/>
      <c r="Y196" s="42">
        <f t="shared" si="105"/>
        <v>0</v>
      </c>
      <c r="Z196" s="42">
        <f t="shared" si="106"/>
        <v>0</v>
      </c>
      <c r="AA196" s="96" t="e">
        <f t="shared" si="107"/>
        <v>#DIV/0!</v>
      </c>
      <c r="AB196" s="96" t="e">
        <f t="shared" si="108"/>
        <v>#DIV/0!</v>
      </c>
    </row>
    <row r="197" spans="1:28" hidden="1" outlineLevel="1" x14ac:dyDescent="0.25">
      <c r="A197" s="18"/>
      <c r="B197" s="38">
        <f t="shared" si="136"/>
        <v>18</v>
      </c>
      <c r="C197" s="54">
        <f t="shared" si="128"/>
        <v>111.01561856866311</v>
      </c>
      <c r="D197" s="33">
        <f>C197*VLOOKUP($A$180,Ταρίφες!$A$6:$G$23,$K$6,FALSE)*(1+$F$3)^(B197-1)</f>
        <v>40520.700777562037</v>
      </c>
      <c r="E197" s="33">
        <f>C197*VLOOKUP($A$180,Ταρίφες!$A$6:$G$23,$K$7,FALSE)*(1+$F$3)^(B197-1)</f>
        <v>29419.138920695725</v>
      </c>
      <c r="F197" s="46">
        <f t="shared" si="123"/>
        <v>-2800.4828383848489</v>
      </c>
      <c r="G197" s="47">
        <f t="shared" si="124"/>
        <v>-1120.1931353539396</v>
      </c>
      <c r="H197" s="47">
        <f t="shared" si="125"/>
        <v>-3920.6759737387883</v>
      </c>
      <c r="I197" s="46">
        <f t="shared" si="126"/>
        <v>-6301.0863863659097</v>
      </c>
      <c r="J197" s="47">
        <f t="shared" si="129"/>
        <v>-7980</v>
      </c>
      <c r="K197" s="47">
        <f t="shared" si="130"/>
        <v>-4783.5482353668231</v>
      </c>
      <c r="L197" s="47">
        <f t="shared" si="131"/>
        <v>-1897.1421525815822</v>
      </c>
      <c r="M197" s="47">
        <f t="shared" si="132"/>
        <v>21594.714208351728</v>
      </c>
      <c r="N197" s="47">
        <f t="shared" si="133"/>
        <v>13379.558434270657</v>
      </c>
      <c r="O197" s="34"/>
      <c r="P197" s="36">
        <f t="shared" si="127"/>
        <v>0</v>
      </c>
      <c r="Q197" s="35"/>
      <c r="R197" s="33"/>
      <c r="S197" s="43"/>
      <c r="T197" s="19"/>
      <c r="U197" s="27">
        <f t="shared" si="134"/>
        <v>21594.714208351728</v>
      </c>
      <c r="V197" s="28">
        <f t="shared" si="135"/>
        <v>13379.558434270657</v>
      </c>
      <c r="W197" s="43"/>
      <c r="X197" s="19"/>
      <c r="Y197" s="42">
        <f t="shared" si="105"/>
        <v>0</v>
      </c>
      <c r="Z197" s="42">
        <f t="shared" si="106"/>
        <v>0</v>
      </c>
      <c r="AA197" s="96" t="e">
        <f t="shared" si="107"/>
        <v>#DIV/0!</v>
      </c>
      <c r="AB197" s="96" t="e">
        <f t="shared" si="108"/>
        <v>#DIV/0!</v>
      </c>
    </row>
    <row r="198" spans="1:28" hidden="1" outlineLevel="1" x14ac:dyDescent="0.25">
      <c r="A198" s="18"/>
      <c r="B198" s="38">
        <f t="shared" si="136"/>
        <v>19</v>
      </c>
      <c r="C198" s="54">
        <f t="shared" si="128"/>
        <v>109.90546238297648</v>
      </c>
      <c r="D198" s="33">
        <f>C198*VLOOKUP($A$180,Ταρίφες!$A$6:$G$23,$K$6,FALSE)*(1+$F$3)^(B198-1)</f>
        <v>40115.493769786415</v>
      </c>
      <c r="E198" s="33">
        <f>C198*VLOOKUP($A$180,Ταρίφες!$A$6:$G$23,$K$7,FALSE)*(1+$F$3)^(B198-1)</f>
        <v>29124.947531488768</v>
      </c>
      <c r="F198" s="46">
        <f t="shared" si="123"/>
        <v>-2856.4924951525454</v>
      </c>
      <c r="G198" s="47">
        <f t="shared" si="124"/>
        <v>-1142.5969980610182</v>
      </c>
      <c r="H198" s="47">
        <f t="shared" si="125"/>
        <v>-3999.0894932135634</v>
      </c>
      <c r="I198" s="46">
        <f t="shared" si="126"/>
        <v>-6427.1081140932274</v>
      </c>
      <c r="J198" s="47">
        <f t="shared" si="129"/>
        <v>-7980</v>
      </c>
      <c r="K198" s="47">
        <f t="shared" si="130"/>
        <v>-4604.6537340091754</v>
      </c>
      <c r="L198" s="47">
        <f t="shared" si="131"/>
        <v>-1747.1117120517872</v>
      </c>
      <c r="M198" s="47">
        <f t="shared" si="132"/>
        <v>21085.552935256885</v>
      </c>
      <c r="N198" s="47">
        <f t="shared" si="133"/>
        <v>12952.548718916627</v>
      </c>
      <c r="O198" s="34"/>
      <c r="P198" s="36">
        <f t="shared" si="127"/>
        <v>0</v>
      </c>
      <c r="Q198" s="35"/>
      <c r="R198" s="33"/>
      <c r="S198" s="43"/>
      <c r="T198" s="19"/>
      <c r="U198" s="27">
        <f t="shared" si="134"/>
        <v>21085.552935256885</v>
      </c>
      <c r="V198" s="28">
        <f t="shared" si="135"/>
        <v>12952.548718916627</v>
      </c>
      <c r="W198" s="43"/>
      <c r="X198" s="19"/>
      <c r="Y198" s="42">
        <f t="shared" si="105"/>
        <v>0</v>
      </c>
      <c r="Z198" s="42">
        <f t="shared" si="106"/>
        <v>0</v>
      </c>
      <c r="AA198" s="96" t="e">
        <f t="shared" si="107"/>
        <v>#DIV/0!</v>
      </c>
      <c r="AB198" s="96" t="e">
        <f t="shared" si="108"/>
        <v>#DIV/0!</v>
      </c>
    </row>
    <row r="199" spans="1:28" hidden="1" outlineLevel="1" x14ac:dyDescent="0.25">
      <c r="A199" s="18"/>
      <c r="B199" s="38">
        <f>B198+1</f>
        <v>20</v>
      </c>
      <c r="C199" s="54">
        <f>C198*(1-$F$2)</f>
        <v>108.80640775914671</v>
      </c>
      <c r="D199" s="33">
        <f>C199*VLOOKUP($A$180,Ταρίφες!$A$6:$G$23,$K$6,FALSE)*(1+$F$3)^(B199-1)</f>
        <v>39714.33883208855</v>
      </c>
      <c r="E199" s="33">
        <f>C199*VLOOKUP($A$180,Ταρίφες!$A$6:$G$23,$K$7,FALSE)*(1+$F$3)^(B199-1)</f>
        <v>28833.698056173878</v>
      </c>
      <c r="F199" s="46">
        <f t="shared" si="123"/>
        <v>-2913.6223450555963</v>
      </c>
      <c r="G199" s="47">
        <f t="shared" si="124"/>
        <v>-1165.4489380222385</v>
      </c>
      <c r="H199" s="47">
        <f>-$K$4*(1+$F$4)^(B199-$B$12)</f>
        <v>-4079.0712830778348</v>
      </c>
      <c r="I199" s="46">
        <f>-(4500*(1+$F$4)^(B199-$B$12))</f>
        <v>-6555.6502763750914</v>
      </c>
      <c r="J199" s="47">
        <f t="shared" si="129"/>
        <v>-7980</v>
      </c>
      <c r="K199" s="47">
        <f>-(D199+SUM(F199:J199))*$F$5</f>
        <v>-4425.3419572850253</v>
      </c>
      <c r="L199" s="47">
        <f>-(E199+SUM(F199:J199))*$F$5</f>
        <v>-1596.3753555472103</v>
      </c>
      <c r="M199" s="47">
        <f>D199+SUM(F199:I199)+K199</f>
        <v>20575.204032272763</v>
      </c>
      <c r="N199" s="47">
        <f>E199+SUM(F199:I199)+L199</f>
        <v>12523.529858095906</v>
      </c>
      <c r="O199" s="34"/>
      <c r="P199" s="36">
        <f t="shared" si="127"/>
        <v>0</v>
      </c>
      <c r="Q199" s="35"/>
      <c r="R199" s="33"/>
      <c r="S199" s="43"/>
      <c r="T199" s="19"/>
      <c r="U199" s="27">
        <f>M199</f>
        <v>20575.204032272763</v>
      </c>
      <c r="V199" s="28">
        <f>N199</f>
        <v>12523.529858095906</v>
      </c>
      <c r="W199" s="43"/>
      <c r="X199" s="19"/>
      <c r="Y199" s="42">
        <f t="shared" si="105"/>
        <v>0</v>
      </c>
      <c r="Z199" s="42">
        <f t="shared" si="106"/>
        <v>0</v>
      </c>
      <c r="AA199" s="96" t="e">
        <f t="shared" si="107"/>
        <v>#DIV/0!</v>
      </c>
      <c r="AB199" s="96" t="e">
        <f t="shared" si="108"/>
        <v>#DIV/0!</v>
      </c>
    </row>
    <row r="200" spans="1:28" s="40" customFormat="1" hidden="1" outlineLevel="1" x14ac:dyDescent="0.25">
      <c r="O200" s="17"/>
      <c r="P200" s="36">
        <f t="shared" si="127"/>
        <v>0</v>
      </c>
      <c r="Q200" s="25"/>
      <c r="R200" s="22"/>
      <c r="S200" s="52"/>
      <c r="T200" s="44"/>
      <c r="U200" s="74">
        <f>O201</f>
        <v>-183500</v>
      </c>
      <c r="V200" s="74">
        <f>R201</f>
        <v>-128359.61589929648</v>
      </c>
      <c r="W200" s="52"/>
      <c r="X200" s="44"/>
      <c r="Y200" s="42">
        <f t="shared" si="105"/>
        <v>0</v>
      </c>
      <c r="Z200" s="42">
        <f t="shared" si="106"/>
        <v>0</v>
      </c>
      <c r="AA200" s="96" t="e">
        <f t="shared" si="107"/>
        <v>#DIV/0!</v>
      </c>
      <c r="AB200" s="96" t="e">
        <f t="shared" si="108"/>
        <v>#DIV/0!</v>
      </c>
    </row>
    <row r="201" spans="1:28" collapsed="1" x14ac:dyDescent="0.25">
      <c r="A201" s="32" t="str">
        <f>Ταρίφες!A19</f>
        <v>Β Τριμ. 2012</v>
      </c>
      <c r="B201" s="38">
        <f>1</f>
        <v>1</v>
      </c>
      <c r="C201" s="54">
        <f>$F$8*$K$2/1000</f>
        <v>131.69999999999999</v>
      </c>
      <c r="D201" s="33">
        <f>C201*VLOOKUP($A$201,Ταρίφες!$A$6:$G$23,$K$6,FALSE)*(1+$F$3)^(B201-1)</f>
        <v>43460.999999999993</v>
      </c>
      <c r="E201" s="33">
        <f>C201*VLOOKUP($A$201,Ταρίφες!$A$6:$G$23,$K$7,FALSE)*(1+$F$3)^(B201-1)</f>
        <v>31607.999999999996</v>
      </c>
      <c r="F201" s="46">
        <f t="shared" ref="F201:F220" si="137">-($K$5*(1+$F$4)^(B201-$B$12))</f>
        <v>-2000</v>
      </c>
      <c r="G201" s="47">
        <f t="shared" ref="G201:G220" si="138">-$K$2*10*(1+$F$4)^(B201-$B$12)</f>
        <v>-800</v>
      </c>
      <c r="H201" s="47">
        <f t="shared" ref="H201:H219" si="139">-$K$4*(1+$F$4)^(B201-$B$12)</f>
        <v>-2800</v>
      </c>
      <c r="I201" s="46">
        <f t="shared" ref="I201:I219" si="140">-(4500*(1+$F$4)^(B201-$B$12))</f>
        <v>-4500</v>
      </c>
      <c r="J201" s="47">
        <f>$O$201*4%</f>
        <v>-7340</v>
      </c>
      <c r="K201" s="47">
        <f>-(D201+SUM(F201:J201))*$F$5</f>
        <v>-6765.4599999999982</v>
      </c>
      <c r="L201" s="47">
        <f>-(E201+SUM(F201:J201))*$F$5</f>
        <v>-3683.6799999999994</v>
      </c>
      <c r="M201" s="47">
        <f>D201+SUM(F201:I201)+K201</f>
        <v>26595.539999999994</v>
      </c>
      <c r="N201" s="47">
        <f>E201+SUM(F201:I201)+L201</f>
        <v>17824.319999999996</v>
      </c>
      <c r="O201" s="35">
        <f>-VLOOKUP(A201,'Κόστος Κατασκευής'!$A$4:$Q$17,$K$8,FALSE)</f>
        <v>-183500</v>
      </c>
      <c r="P201" s="36">
        <f>-O201*0.4</f>
        <v>73400</v>
      </c>
      <c r="Q201" s="36">
        <f>Q180*15/16</f>
        <v>-18259.615899296481</v>
      </c>
      <c r="R201" s="37">
        <f>SUM(O201:Q201)</f>
        <v>-128359.61589929648</v>
      </c>
      <c r="S201" s="42">
        <f>IRR(U200:U220)</f>
        <v>0.11428669901718802</v>
      </c>
      <c r="T201" s="42">
        <f>IRR(V200:V220)</f>
        <v>0.10236930797753341</v>
      </c>
      <c r="U201" s="27">
        <f>M201</f>
        <v>26595.539999999994</v>
      </c>
      <c r="V201" s="28">
        <f>N201</f>
        <v>17824.319999999996</v>
      </c>
      <c r="W201" s="42">
        <f>'IRR ΔΣ Ισχύον'!S201</f>
        <v>0.19198688879736281</v>
      </c>
      <c r="X201" s="42">
        <f>'IRR ΔΣ Ισχύον'!T201</f>
        <v>0.15768574202806196</v>
      </c>
      <c r="Y201" s="42">
        <f t="shared" si="105"/>
        <v>-7.7700189780174789E-2</v>
      </c>
      <c r="Z201" s="42">
        <f t="shared" si="106"/>
        <v>-5.5316434050528551E-2</v>
      </c>
      <c r="AA201" s="96">
        <f t="shared" si="107"/>
        <v>0.4</v>
      </c>
      <c r="AB201" s="96">
        <f t="shared" si="108"/>
        <v>0.30049255640710365</v>
      </c>
    </row>
    <row r="202" spans="1:28" hidden="1" outlineLevel="1" x14ac:dyDescent="0.25">
      <c r="A202" s="18"/>
      <c r="B202" s="38">
        <f>B201+1</f>
        <v>2</v>
      </c>
      <c r="C202" s="54">
        <f t="shared" ref="C202:C219" si="141">C201*(1-$F$2)</f>
        <v>130.38299999999998</v>
      </c>
      <c r="D202" s="33">
        <f>C202*VLOOKUP($A$201,Ταρίφες!$A$6:$G$23,$K$6,FALSE)*(1+$F$3)^(B202-1)</f>
        <v>43026.389999999992</v>
      </c>
      <c r="E202" s="33">
        <f>C202*VLOOKUP($A$201,Ταρίφες!$A$6:$G$23,$K$7,FALSE)*(1+$F$3)^(B202-1)</f>
        <v>31291.919999999995</v>
      </c>
      <c r="F202" s="46">
        <f t="shared" si="137"/>
        <v>-2040</v>
      </c>
      <c r="G202" s="47">
        <f t="shared" si="138"/>
        <v>-816</v>
      </c>
      <c r="H202" s="47">
        <f t="shared" si="139"/>
        <v>-2856</v>
      </c>
      <c r="I202" s="46">
        <f t="shared" si="140"/>
        <v>-4590</v>
      </c>
      <c r="J202" s="47">
        <f t="shared" ref="J202:J220" si="142">$O$201*4%</f>
        <v>-7340</v>
      </c>
      <c r="K202" s="47">
        <f t="shared" ref="K202:K219" si="143">-(D202+SUM(F202:J202))*$F$5</f>
        <v>-6599.9413999999979</v>
      </c>
      <c r="L202" s="47">
        <f t="shared" ref="L202:L219" si="144">-(E202+SUM(F202:J202))*$F$5</f>
        <v>-3548.9791999999989</v>
      </c>
      <c r="M202" s="47">
        <f t="shared" ref="M202:M219" si="145">D202+SUM(F202:I202)+K202</f>
        <v>26124.448599999996</v>
      </c>
      <c r="N202" s="47">
        <f t="shared" ref="N202:N219" si="146">E202+SUM(F202:I202)+L202</f>
        <v>17440.940799999997</v>
      </c>
      <c r="O202" s="34"/>
      <c r="P202" s="36">
        <f t="shared" ref="P202:P265" si="147">-O202*0.4</f>
        <v>0</v>
      </c>
      <c r="Q202" s="35"/>
      <c r="R202" s="33"/>
      <c r="S202" s="43"/>
      <c r="T202" s="19"/>
      <c r="U202" s="27">
        <f t="shared" ref="U202:U219" si="148">M202</f>
        <v>26124.448599999996</v>
      </c>
      <c r="V202" s="28">
        <f t="shared" ref="V202:V219" si="149">N202</f>
        <v>17440.940799999997</v>
      </c>
      <c r="W202" s="43"/>
      <c r="X202" s="19"/>
      <c r="Y202" s="42">
        <f t="shared" si="105"/>
        <v>0</v>
      </c>
      <c r="Z202" s="42">
        <f t="shared" si="106"/>
        <v>0</v>
      </c>
      <c r="AA202" s="96" t="e">
        <f t="shared" si="107"/>
        <v>#DIV/0!</v>
      </c>
      <c r="AB202" s="96" t="e">
        <f t="shared" si="108"/>
        <v>#DIV/0!</v>
      </c>
    </row>
    <row r="203" spans="1:28" hidden="1" outlineLevel="1" x14ac:dyDescent="0.25">
      <c r="A203" s="18"/>
      <c r="B203" s="38">
        <f t="shared" ref="B203:B219" si="150">B202+1</f>
        <v>3</v>
      </c>
      <c r="C203" s="54">
        <f t="shared" si="141"/>
        <v>129.07916999999998</v>
      </c>
      <c r="D203" s="33">
        <f>C203*VLOOKUP($A$201,Ταρίφες!$A$6:$G$23,$K$6,FALSE)*(1+$F$3)^(B203-1)</f>
        <v>42596.126099999994</v>
      </c>
      <c r="E203" s="33">
        <f>C203*VLOOKUP($A$201,Ταρίφες!$A$6:$G$23,$K$7,FALSE)*(1+$F$3)^(B203-1)</f>
        <v>30979.000799999994</v>
      </c>
      <c r="F203" s="46">
        <f t="shared" si="137"/>
        <v>-2080.8000000000002</v>
      </c>
      <c r="G203" s="47">
        <f t="shared" si="138"/>
        <v>-832.31999999999994</v>
      </c>
      <c r="H203" s="47">
        <f t="shared" si="139"/>
        <v>-2913.12</v>
      </c>
      <c r="I203" s="46">
        <f t="shared" si="140"/>
        <v>-4681.8</v>
      </c>
      <c r="J203" s="47">
        <f t="shared" si="142"/>
        <v>-7340</v>
      </c>
      <c r="K203" s="47">
        <f t="shared" si="143"/>
        <v>-6434.5023859999983</v>
      </c>
      <c r="L203" s="47">
        <f t="shared" si="144"/>
        <v>-3414.0498079999984</v>
      </c>
      <c r="M203" s="47">
        <f t="shared" si="145"/>
        <v>25653.583713999993</v>
      </c>
      <c r="N203" s="47">
        <f t="shared" si="146"/>
        <v>17056.910991999994</v>
      </c>
      <c r="O203" s="34"/>
      <c r="P203" s="36">
        <f t="shared" si="147"/>
        <v>0</v>
      </c>
      <c r="Q203" s="35"/>
      <c r="R203" s="33"/>
      <c r="S203" s="43"/>
      <c r="T203" s="19"/>
      <c r="U203" s="27">
        <f t="shared" si="148"/>
        <v>25653.583713999993</v>
      </c>
      <c r="V203" s="28">
        <f t="shared" si="149"/>
        <v>17056.910991999994</v>
      </c>
      <c r="W203" s="43"/>
      <c r="X203" s="19"/>
      <c r="Y203" s="42">
        <f t="shared" si="105"/>
        <v>0</v>
      </c>
      <c r="Z203" s="42">
        <f t="shared" si="106"/>
        <v>0</v>
      </c>
      <c r="AA203" s="96" t="e">
        <f t="shared" si="107"/>
        <v>#DIV/0!</v>
      </c>
      <c r="AB203" s="96" t="e">
        <f t="shared" si="108"/>
        <v>#DIV/0!</v>
      </c>
    </row>
    <row r="204" spans="1:28" hidden="1" outlineLevel="1" x14ac:dyDescent="0.25">
      <c r="A204" s="18"/>
      <c r="B204" s="38">
        <f t="shared" si="150"/>
        <v>4</v>
      </c>
      <c r="C204" s="54">
        <f t="shared" si="141"/>
        <v>127.78837829999998</v>
      </c>
      <c r="D204" s="33">
        <f>C204*VLOOKUP($A$201,Ταρίφες!$A$6:$G$23,$K$6,FALSE)*(1+$F$3)^(B204-1)</f>
        <v>42170.16483899999</v>
      </c>
      <c r="E204" s="33">
        <f>C204*VLOOKUP($A$201,Ταρίφες!$A$6:$G$23,$K$7,FALSE)*(1+$F$3)^(B204-1)</f>
        <v>30669.210791999994</v>
      </c>
      <c r="F204" s="46">
        <f t="shared" si="137"/>
        <v>-2122.4159999999997</v>
      </c>
      <c r="G204" s="47">
        <f t="shared" si="138"/>
        <v>-848.96639999999991</v>
      </c>
      <c r="H204" s="47">
        <f t="shared" si="139"/>
        <v>-2971.3824</v>
      </c>
      <c r="I204" s="46">
        <f t="shared" si="140"/>
        <v>-4775.4359999999997</v>
      </c>
      <c r="J204" s="47">
        <f t="shared" si="142"/>
        <v>-7340</v>
      </c>
      <c r="K204" s="47">
        <f t="shared" si="143"/>
        <v>-6269.1106501399981</v>
      </c>
      <c r="L204" s="47">
        <f t="shared" si="144"/>
        <v>-3278.8625979199992</v>
      </c>
      <c r="M204" s="47">
        <f t="shared" si="145"/>
        <v>25182.853388859992</v>
      </c>
      <c r="N204" s="47">
        <f t="shared" si="146"/>
        <v>16672.147394079995</v>
      </c>
      <c r="O204" s="34"/>
      <c r="P204" s="36">
        <f t="shared" si="147"/>
        <v>0</v>
      </c>
      <c r="Q204" s="35"/>
      <c r="R204" s="33"/>
      <c r="S204" s="43"/>
      <c r="T204" s="19"/>
      <c r="U204" s="27">
        <f t="shared" si="148"/>
        <v>25182.853388859992</v>
      </c>
      <c r="V204" s="28">
        <f t="shared" si="149"/>
        <v>16672.147394079995</v>
      </c>
      <c r="W204" s="43"/>
      <c r="X204" s="19"/>
      <c r="Y204" s="42">
        <f t="shared" si="105"/>
        <v>0</v>
      </c>
      <c r="Z204" s="42">
        <f t="shared" si="106"/>
        <v>0</v>
      </c>
      <c r="AA204" s="96" t="e">
        <f t="shared" si="107"/>
        <v>#DIV/0!</v>
      </c>
      <c r="AB204" s="96" t="e">
        <f t="shared" si="108"/>
        <v>#DIV/0!</v>
      </c>
    </row>
    <row r="205" spans="1:28" hidden="1" outlineLevel="1" x14ac:dyDescent="0.25">
      <c r="A205" s="18"/>
      <c r="B205" s="38">
        <f t="shared" si="150"/>
        <v>5</v>
      </c>
      <c r="C205" s="54">
        <f t="shared" si="141"/>
        <v>126.51049451699997</v>
      </c>
      <c r="D205" s="33">
        <f>C205*VLOOKUP($A$201,Ταρίφες!$A$6:$G$23,$K$6,FALSE)*(1+$F$3)^(B205-1)</f>
        <v>41748.463190609989</v>
      </c>
      <c r="E205" s="33">
        <f>C205*VLOOKUP($A$201,Ταρίφες!$A$6:$G$23,$K$7,FALSE)*(1+$F$3)^(B205-1)</f>
        <v>30362.518684079994</v>
      </c>
      <c r="F205" s="46">
        <f t="shared" si="137"/>
        <v>-2164.8643200000001</v>
      </c>
      <c r="G205" s="47">
        <f t="shared" si="138"/>
        <v>-865.94572800000003</v>
      </c>
      <c r="H205" s="47">
        <f t="shared" si="139"/>
        <v>-3030.8100479999998</v>
      </c>
      <c r="I205" s="46">
        <f t="shared" si="140"/>
        <v>-4870.9447199999995</v>
      </c>
      <c r="J205" s="47">
        <f t="shared" si="142"/>
        <v>-7340</v>
      </c>
      <c r="K205" s="47">
        <f t="shared" si="143"/>
        <v>-6103.7335773985978</v>
      </c>
      <c r="L205" s="47">
        <f t="shared" si="144"/>
        <v>-3143.3880057007991</v>
      </c>
      <c r="M205" s="47">
        <f t="shared" si="145"/>
        <v>24712.164797211393</v>
      </c>
      <c r="N205" s="47">
        <f t="shared" si="146"/>
        <v>16286.565862379197</v>
      </c>
      <c r="O205" s="34"/>
      <c r="P205" s="36">
        <f t="shared" si="147"/>
        <v>0</v>
      </c>
      <c r="Q205" s="35"/>
      <c r="R205" s="33"/>
      <c r="S205" s="43"/>
      <c r="T205" s="19"/>
      <c r="U205" s="27">
        <f t="shared" si="148"/>
        <v>24712.164797211393</v>
      </c>
      <c r="V205" s="28">
        <f t="shared" si="149"/>
        <v>16286.565862379197</v>
      </c>
      <c r="W205" s="43"/>
      <c r="X205" s="19"/>
      <c r="Y205" s="42">
        <f t="shared" ref="Y205:Y268" si="151">S205-W205</f>
        <v>0</v>
      </c>
      <c r="Z205" s="42">
        <f t="shared" ref="Z205:Z268" si="152">T205-X205</f>
        <v>0</v>
      </c>
      <c r="AA205" s="96" t="e">
        <f t="shared" ref="AA205:AA268" si="153">(P205)/-O205</f>
        <v>#DIV/0!</v>
      </c>
      <c r="AB205" s="96" t="e">
        <f t="shared" ref="AB205:AB268" si="154">(P205+Q205)/-O205</f>
        <v>#DIV/0!</v>
      </c>
    </row>
    <row r="206" spans="1:28" hidden="1" outlineLevel="1" x14ac:dyDescent="0.25">
      <c r="A206" s="18"/>
      <c r="B206" s="38">
        <f t="shared" si="150"/>
        <v>6</v>
      </c>
      <c r="C206" s="54">
        <f t="shared" si="141"/>
        <v>125.24538957182997</v>
      </c>
      <c r="D206" s="33">
        <f>C206*VLOOKUP($A$201,Ταρίφες!$A$6:$G$23,$K$6,FALSE)*(1+$F$3)^(B206-1)</f>
        <v>41330.978558703893</v>
      </c>
      <c r="E206" s="33">
        <f>C206*VLOOKUP($A$201,Ταρίφες!$A$6:$G$23,$K$7,FALSE)*(1+$F$3)^(B206-1)</f>
        <v>30058.893497239194</v>
      </c>
      <c r="F206" s="46">
        <f t="shared" si="137"/>
        <v>-2208.1616064</v>
      </c>
      <c r="G206" s="47">
        <f t="shared" si="138"/>
        <v>-883.26464255999997</v>
      </c>
      <c r="H206" s="47">
        <f t="shared" si="139"/>
        <v>-3091.4262489600001</v>
      </c>
      <c r="I206" s="46">
        <f t="shared" si="140"/>
        <v>-4968.3636144000002</v>
      </c>
      <c r="J206" s="47">
        <f t="shared" si="142"/>
        <v>-7340</v>
      </c>
      <c r="K206" s="47">
        <f t="shared" si="143"/>
        <v>-5938.3382360598125</v>
      </c>
      <c r="L206" s="47">
        <f t="shared" si="144"/>
        <v>-3007.5961200789911</v>
      </c>
      <c r="M206" s="47">
        <f t="shared" si="145"/>
        <v>24241.424210324083</v>
      </c>
      <c r="N206" s="47">
        <f t="shared" si="146"/>
        <v>15900.081264840204</v>
      </c>
      <c r="O206" s="34"/>
      <c r="P206" s="36">
        <f t="shared" si="147"/>
        <v>0</v>
      </c>
      <c r="Q206" s="35"/>
      <c r="R206" s="33"/>
      <c r="S206" s="43"/>
      <c r="T206" s="19"/>
      <c r="U206" s="27">
        <f t="shared" si="148"/>
        <v>24241.424210324083</v>
      </c>
      <c r="V206" s="28">
        <f t="shared" si="149"/>
        <v>15900.081264840204</v>
      </c>
      <c r="W206" s="43"/>
      <c r="X206" s="19"/>
      <c r="Y206" s="42">
        <f t="shared" si="151"/>
        <v>0</v>
      </c>
      <c r="Z206" s="42">
        <f t="shared" si="152"/>
        <v>0</v>
      </c>
      <c r="AA206" s="96" t="e">
        <f t="shared" si="153"/>
        <v>#DIV/0!</v>
      </c>
      <c r="AB206" s="96" t="e">
        <f t="shared" si="154"/>
        <v>#DIV/0!</v>
      </c>
    </row>
    <row r="207" spans="1:28" hidden="1" outlineLevel="1" x14ac:dyDescent="0.25">
      <c r="A207" s="18"/>
      <c r="B207" s="38">
        <f t="shared" si="150"/>
        <v>7</v>
      </c>
      <c r="C207" s="54">
        <f t="shared" si="141"/>
        <v>123.99293567611167</v>
      </c>
      <c r="D207" s="33">
        <f>C207*VLOOKUP($A$201,Ταρίφες!$A$6:$G$23,$K$6,FALSE)*(1+$F$3)^(B207-1)</f>
        <v>40917.668773116849</v>
      </c>
      <c r="E207" s="33">
        <f>C207*VLOOKUP($A$201,Ταρίφες!$A$6:$G$23,$K$7,FALSE)*(1+$F$3)^(B207-1)</f>
        <v>29758.3045622668</v>
      </c>
      <c r="F207" s="46">
        <f t="shared" si="137"/>
        <v>-2252.3248385280003</v>
      </c>
      <c r="G207" s="47">
        <f t="shared" si="138"/>
        <v>-900.92993541120006</v>
      </c>
      <c r="H207" s="47">
        <f t="shared" si="139"/>
        <v>-3153.2547739392003</v>
      </c>
      <c r="I207" s="46">
        <f t="shared" si="140"/>
        <v>-5067.7308866880003</v>
      </c>
      <c r="J207" s="47">
        <f t="shared" si="142"/>
        <v>-7340</v>
      </c>
      <c r="K207" s="47">
        <f t="shared" si="143"/>
        <v>-5772.8913680231171</v>
      </c>
      <c r="L207" s="47">
        <f t="shared" si="144"/>
        <v>-2871.456673202104</v>
      </c>
      <c r="M207" s="47">
        <f t="shared" si="145"/>
        <v>23770.536970527333</v>
      </c>
      <c r="N207" s="47">
        <f t="shared" si="146"/>
        <v>15512.607454498295</v>
      </c>
      <c r="O207" s="34"/>
      <c r="P207" s="36">
        <f t="shared" si="147"/>
        <v>0</v>
      </c>
      <c r="Q207" s="35"/>
      <c r="R207" s="33"/>
      <c r="S207" s="43"/>
      <c r="T207" s="19"/>
      <c r="U207" s="27">
        <f t="shared" si="148"/>
        <v>23770.536970527333</v>
      </c>
      <c r="V207" s="28">
        <f t="shared" si="149"/>
        <v>15512.607454498295</v>
      </c>
      <c r="W207" s="43"/>
      <c r="X207" s="19"/>
      <c r="Y207" s="42">
        <f t="shared" si="151"/>
        <v>0</v>
      </c>
      <c r="Z207" s="42">
        <f t="shared" si="152"/>
        <v>0</v>
      </c>
      <c r="AA207" s="96" t="e">
        <f t="shared" si="153"/>
        <v>#DIV/0!</v>
      </c>
      <c r="AB207" s="96" t="e">
        <f t="shared" si="154"/>
        <v>#DIV/0!</v>
      </c>
    </row>
    <row r="208" spans="1:28" hidden="1" outlineLevel="1" x14ac:dyDescent="0.25">
      <c r="A208" s="18"/>
      <c r="B208" s="38">
        <f t="shared" si="150"/>
        <v>8</v>
      </c>
      <c r="C208" s="54">
        <f t="shared" si="141"/>
        <v>122.75300631935055</v>
      </c>
      <c r="D208" s="33">
        <f>C208*VLOOKUP($A$201,Ταρίφες!$A$6:$G$23,$K$6,FALSE)*(1+$F$3)^(B208-1)</f>
        <v>40508.492085385682</v>
      </c>
      <c r="E208" s="33">
        <f>C208*VLOOKUP($A$201,Ταρίφες!$A$6:$G$23,$K$7,FALSE)*(1+$F$3)^(B208-1)</f>
        <v>29460.721516644131</v>
      </c>
      <c r="F208" s="46">
        <f t="shared" si="137"/>
        <v>-2297.3713352985596</v>
      </c>
      <c r="G208" s="47">
        <f t="shared" si="138"/>
        <v>-918.94853411942381</v>
      </c>
      <c r="H208" s="47">
        <f t="shared" si="139"/>
        <v>-3216.3198694179837</v>
      </c>
      <c r="I208" s="46">
        <f t="shared" si="140"/>
        <v>-5169.0855044217587</v>
      </c>
      <c r="J208" s="47">
        <f t="shared" si="142"/>
        <v>-7340</v>
      </c>
      <c r="K208" s="47">
        <f t="shared" si="143"/>
        <v>-5607.3593789532688</v>
      </c>
      <c r="L208" s="47">
        <f t="shared" si="144"/>
        <v>-2734.9390310804652</v>
      </c>
      <c r="M208" s="47">
        <f t="shared" si="145"/>
        <v>23299.407463174688</v>
      </c>
      <c r="N208" s="47">
        <f t="shared" si="146"/>
        <v>15124.05724230594</v>
      </c>
      <c r="O208" s="34"/>
      <c r="P208" s="36">
        <f t="shared" si="147"/>
        <v>0</v>
      </c>
      <c r="Q208" s="35"/>
      <c r="R208" s="33"/>
      <c r="S208" s="43"/>
      <c r="T208" s="19"/>
      <c r="U208" s="27">
        <f t="shared" si="148"/>
        <v>23299.407463174688</v>
      </c>
      <c r="V208" s="28">
        <f t="shared" si="149"/>
        <v>15124.05724230594</v>
      </c>
      <c r="W208" s="43"/>
      <c r="X208" s="19"/>
      <c r="Y208" s="42">
        <f t="shared" si="151"/>
        <v>0</v>
      </c>
      <c r="Z208" s="42">
        <f t="shared" si="152"/>
        <v>0</v>
      </c>
      <c r="AA208" s="96" t="e">
        <f t="shared" si="153"/>
        <v>#DIV/0!</v>
      </c>
      <c r="AB208" s="96" t="e">
        <f t="shared" si="154"/>
        <v>#DIV/0!</v>
      </c>
    </row>
    <row r="209" spans="1:28" hidden="1" outlineLevel="1" x14ac:dyDescent="0.25">
      <c r="A209" s="18"/>
      <c r="B209" s="38">
        <f t="shared" si="150"/>
        <v>9</v>
      </c>
      <c r="C209" s="54">
        <f t="shared" si="141"/>
        <v>121.52547625615703</v>
      </c>
      <c r="D209" s="33">
        <f>C209*VLOOKUP($A$201,Ταρίφες!$A$6:$G$23,$K$6,FALSE)*(1+$F$3)^(B209-1)</f>
        <v>40103.407164531818</v>
      </c>
      <c r="E209" s="33">
        <f>C209*VLOOKUP($A$201,Ταρίφες!$A$6:$G$23,$K$7,FALSE)*(1+$F$3)^(B209-1)</f>
        <v>29166.11430147769</v>
      </c>
      <c r="F209" s="46">
        <f t="shared" si="137"/>
        <v>-2343.318762004531</v>
      </c>
      <c r="G209" s="47">
        <f t="shared" si="138"/>
        <v>-937.32750480181244</v>
      </c>
      <c r="H209" s="47">
        <f t="shared" si="139"/>
        <v>-3280.6462668063436</v>
      </c>
      <c r="I209" s="46">
        <f t="shared" si="140"/>
        <v>-5272.4672145101949</v>
      </c>
      <c r="J209" s="47">
        <f t="shared" si="142"/>
        <v>-7340</v>
      </c>
      <c r="K209" s="47">
        <f t="shared" si="143"/>
        <v>-5441.7083282663243</v>
      </c>
      <c r="L209" s="47">
        <f t="shared" si="144"/>
        <v>-2598.0121838722507</v>
      </c>
      <c r="M209" s="47">
        <f t="shared" si="145"/>
        <v>22827.939088142615</v>
      </c>
      <c r="N209" s="47">
        <f t="shared" si="146"/>
        <v>14734.342369482558</v>
      </c>
      <c r="O209" s="34"/>
      <c r="P209" s="36">
        <f t="shared" si="147"/>
        <v>0</v>
      </c>
      <c r="Q209" s="35"/>
      <c r="R209" s="33"/>
      <c r="S209" s="43"/>
      <c r="T209" s="19"/>
      <c r="U209" s="27">
        <f t="shared" si="148"/>
        <v>22827.939088142615</v>
      </c>
      <c r="V209" s="28">
        <f t="shared" si="149"/>
        <v>14734.342369482558</v>
      </c>
      <c r="W209" s="43"/>
      <c r="X209" s="19"/>
      <c r="Y209" s="42">
        <f t="shared" si="151"/>
        <v>0</v>
      </c>
      <c r="Z209" s="42">
        <f t="shared" si="152"/>
        <v>0</v>
      </c>
      <c r="AA209" s="96" t="e">
        <f t="shared" si="153"/>
        <v>#DIV/0!</v>
      </c>
      <c r="AB209" s="96" t="e">
        <f t="shared" si="154"/>
        <v>#DIV/0!</v>
      </c>
    </row>
    <row r="210" spans="1:28" hidden="1" outlineLevel="1" x14ac:dyDescent="0.25">
      <c r="A210" s="18"/>
      <c r="B210" s="38">
        <f t="shared" si="150"/>
        <v>10</v>
      </c>
      <c r="C210" s="54">
        <f t="shared" si="141"/>
        <v>120.31022149359546</v>
      </c>
      <c r="D210" s="33">
        <f>C210*VLOOKUP($A$201,Ταρίφες!$A$6:$G$23,$K$6,FALSE)*(1+$F$3)^(B210-1)</f>
        <v>39702.373092886504</v>
      </c>
      <c r="E210" s="33">
        <f>C210*VLOOKUP($A$201,Ταρίφες!$A$6:$G$23,$K$7,FALSE)*(1+$F$3)^(B210-1)</f>
        <v>28874.453158462911</v>
      </c>
      <c r="F210" s="46">
        <f t="shared" si="137"/>
        <v>-2390.1851372446217</v>
      </c>
      <c r="G210" s="47">
        <f t="shared" si="138"/>
        <v>-956.07405489784867</v>
      </c>
      <c r="H210" s="47">
        <f t="shared" si="139"/>
        <v>-3346.2591921424705</v>
      </c>
      <c r="I210" s="46">
        <f t="shared" si="140"/>
        <v>-5377.9165588003989</v>
      </c>
      <c r="J210" s="47">
        <f t="shared" si="142"/>
        <v>-7340</v>
      </c>
      <c r="K210" s="47">
        <f t="shared" si="143"/>
        <v>-5275.9039189483028</v>
      </c>
      <c r="L210" s="47">
        <f t="shared" si="144"/>
        <v>-2460.6447359981685</v>
      </c>
      <c r="M210" s="47">
        <f t="shared" si="145"/>
        <v>22356.034230852863</v>
      </c>
      <c r="N210" s="47">
        <f t="shared" si="146"/>
        <v>14343.373479379403</v>
      </c>
      <c r="O210" s="34"/>
      <c r="P210" s="36">
        <f t="shared" si="147"/>
        <v>0</v>
      </c>
      <c r="Q210" s="35"/>
      <c r="R210" s="33"/>
      <c r="S210" s="43"/>
      <c r="T210" s="19"/>
      <c r="U210" s="27">
        <f t="shared" si="148"/>
        <v>22356.034230852863</v>
      </c>
      <c r="V210" s="28">
        <f t="shared" si="149"/>
        <v>14343.373479379403</v>
      </c>
      <c r="W210" s="43"/>
      <c r="X210" s="19"/>
      <c r="Y210" s="42">
        <f t="shared" si="151"/>
        <v>0</v>
      </c>
      <c r="Z210" s="42">
        <f t="shared" si="152"/>
        <v>0</v>
      </c>
      <c r="AA210" s="96" t="e">
        <f t="shared" si="153"/>
        <v>#DIV/0!</v>
      </c>
      <c r="AB210" s="96" t="e">
        <f t="shared" si="154"/>
        <v>#DIV/0!</v>
      </c>
    </row>
    <row r="211" spans="1:28" hidden="1" outlineLevel="1" x14ac:dyDescent="0.25">
      <c r="A211" s="18"/>
      <c r="B211" s="38">
        <f t="shared" si="150"/>
        <v>11</v>
      </c>
      <c r="C211" s="54">
        <f t="shared" si="141"/>
        <v>119.10711927865951</v>
      </c>
      <c r="D211" s="33">
        <f>C211*VLOOKUP($A$201,Ταρίφες!$A$6:$G$23,$K$6,FALSE)*(1+$F$3)^(B211-1)</f>
        <v>39305.34936195764</v>
      </c>
      <c r="E211" s="33">
        <f>C211*VLOOKUP($A$201,Ταρίφες!$A$6:$G$23,$K$7,FALSE)*(1+$F$3)^(B211-1)</f>
        <v>28585.708626878284</v>
      </c>
      <c r="F211" s="46">
        <f t="shared" si="137"/>
        <v>-2437.9888399895144</v>
      </c>
      <c r="G211" s="47">
        <f t="shared" si="138"/>
        <v>-975.1955359958057</v>
      </c>
      <c r="H211" s="47">
        <f t="shared" si="139"/>
        <v>-3413.18437598532</v>
      </c>
      <c r="I211" s="46">
        <f t="shared" si="140"/>
        <v>-5485.4748899764072</v>
      </c>
      <c r="J211" s="47">
        <f t="shared" si="142"/>
        <v>-7340</v>
      </c>
      <c r="K211" s="47">
        <f t="shared" si="143"/>
        <v>-5109.9114872027549</v>
      </c>
      <c r="L211" s="47">
        <f t="shared" si="144"/>
        <v>-2322.804896082122</v>
      </c>
      <c r="M211" s="47">
        <f t="shared" si="145"/>
        <v>21883.594232807838</v>
      </c>
      <c r="N211" s="47">
        <f t="shared" si="146"/>
        <v>13951.060088849115</v>
      </c>
      <c r="O211" s="34"/>
      <c r="P211" s="36">
        <f t="shared" si="147"/>
        <v>0</v>
      </c>
      <c r="Q211" s="35"/>
      <c r="R211" s="33"/>
      <c r="S211" s="43"/>
      <c r="T211" s="19"/>
      <c r="U211" s="27">
        <f t="shared" si="148"/>
        <v>21883.594232807838</v>
      </c>
      <c r="V211" s="28">
        <f t="shared" si="149"/>
        <v>13951.060088849115</v>
      </c>
      <c r="W211" s="43"/>
      <c r="X211" s="19"/>
      <c r="Y211" s="42">
        <f t="shared" si="151"/>
        <v>0</v>
      </c>
      <c r="Z211" s="42">
        <f t="shared" si="152"/>
        <v>0</v>
      </c>
      <c r="AA211" s="96" t="e">
        <f t="shared" si="153"/>
        <v>#DIV/0!</v>
      </c>
      <c r="AB211" s="96" t="e">
        <f t="shared" si="154"/>
        <v>#DIV/0!</v>
      </c>
    </row>
    <row r="212" spans="1:28" hidden="1" outlineLevel="1" x14ac:dyDescent="0.25">
      <c r="A212" s="18"/>
      <c r="B212" s="38">
        <f t="shared" si="150"/>
        <v>12</v>
      </c>
      <c r="C212" s="54">
        <f t="shared" si="141"/>
        <v>117.91604808587292</v>
      </c>
      <c r="D212" s="33">
        <f>C212*VLOOKUP($A$201,Ταρίφες!$A$6:$G$23,$K$6,FALSE)*(1+$F$3)^(B212-1)</f>
        <v>38912.295868338064</v>
      </c>
      <c r="E212" s="33">
        <f>C212*VLOOKUP($A$201,Ταρίφες!$A$6:$G$23,$K$7,FALSE)*(1+$F$3)^(B212-1)</f>
        <v>28299.851540609499</v>
      </c>
      <c r="F212" s="46">
        <f t="shared" si="137"/>
        <v>-2486.7486167893039</v>
      </c>
      <c r="G212" s="47">
        <f t="shared" si="138"/>
        <v>-994.69944671572159</v>
      </c>
      <c r="H212" s="47">
        <f t="shared" si="139"/>
        <v>-3481.4480635050259</v>
      </c>
      <c r="I212" s="46">
        <f t="shared" si="140"/>
        <v>-5595.1843877759338</v>
      </c>
      <c r="J212" s="47">
        <f t="shared" si="142"/>
        <v>-7340</v>
      </c>
      <c r="K212" s="47">
        <f t="shared" si="143"/>
        <v>-4943.6959919235405</v>
      </c>
      <c r="L212" s="47">
        <f t="shared" si="144"/>
        <v>-2184.4604667141134</v>
      </c>
      <c r="M212" s="47">
        <f t="shared" si="145"/>
        <v>21410.519361628536</v>
      </c>
      <c r="N212" s="47">
        <f t="shared" si="146"/>
        <v>13557.310559109399</v>
      </c>
      <c r="O212" s="34"/>
      <c r="P212" s="36">
        <f t="shared" si="147"/>
        <v>0</v>
      </c>
      <c r="Q212" s="35"/>
      <c r="R212" s="33"/>
      <c r="S212" s="43"/>
      <c r="T212" s="19"/>
      <c r="U212" s="27">
        <f t="shared" si="148"/>
        <v>21410.519361628536</v>
      </c>
      <c r="V212" s="28">
        <f t="shared" si="149"/>
        <v>13557.310559109399</v>
      </c>
      <c r="W212" s="43"/>
      <c r="X212" s="19"/>
      <c r="Y212" s="42">
        <f t="shared" si="151"/>
        <v>0</v>
      </c>
      <c r="Z212" s="42">
        <f t="shared" si="152"/>
        <v>0</v>
      </c>
      <c r="AA212" s="96" t="e">
        <f t="shared" si="153"/>
        <v>#DIV/0!</v>
      </c>
      <c r="AB212" s="96" t="e">
        <f t="shared" si="154"/>
        <v>#DIV/0!</v>
      </c>
    </row>
    <row r="213" spans="1:28" hidden="1" outlineLevel="1" x14ac:dyDescent="0.25">
      <c r="A213" s="18"/>
      <c r="B213" s="38">
        <f t="shared" si="150"/>
        <v>13</v>
      </c>
      <c r="C213" s="54">
        <f t="shared" si="141"/>
        <v>116.73688760501419</v>
      </c>
      <c r="D213" s="33">
        <f>C213*VLOOKUP($A$201,Ταρίφες!$A$6:$G$23,$K$6,FALSE)*(1+$F$3)^(B213-1)</f>
        <v>38523.172909654684</v>
      </c>
      <c r="E213" s="33">
        <f>C213*VLOOKUP($A$201,Ταρίφες!$A$6:$G$23,$K$7,FALSE)*(1+$F$3)^(B213-1)</f>
        <v>28016.853025203407</v>
      </c>
      <c r="F213" s="46">
        <f t="shared" si="137"/>
        <v>-2536.4835891250905</v>
      </c>
      <c r="G213" s="47">
        <f t="shared" si="138"/>
        <v>-1014.5934356500362</v>
      </c>
      <c r="H213" s="47">
        <f t="shared" si="139"/>
        <v>-3551.0770247751266</v>
      </c>
      <c r="I213" s="46">
        <f t="shared" si="140"/>
        <v>-5707.0880755314538</v>
      </c>
      <c r="J213" s="47">
        <f t="shared" si="142"/>
        <v>-7340</v>
      </c>
      <c r="K213" s="47">
        <f t="shared" si="143"/>
        <v>-4777.2220039889744</v>
      </c>
      <c r="L213" s="47">
        <f t="shared" si="144"/>
        <v>-2045.5788340316424</v>
      </c>
      <c r="M213" s="47">
        <f t="shared" si="145"/>
        <v>20936.708780584006</v>
      </c>
      <c r="N213" s="47">
        <f t="shared" si="146"/>
        <v>13162.032066090058</v>
      </c>
      <c r="O213" s="34"/>
      <c r="P213" s="36">
        <f t="shared" si="147"/>
        <v>0</v>
      </c>
      <c r="Q213" s="35"/>
      <c r="R213" s="33"/>
      <c r="S213" s="43"/>
      <c r="T213" s="19"/>
      <c r="U213" s="27">
        <f t="shared" si="148"/>
        <v>20936.708780584006</v>
      </c>
      <c r="V213" s="28">
        <f t="shared" si="149"/>
        <v>13162.032066090058</v>
      </c>
      <c r="W213" s="43"/>
      <c r="X213" s="19"/>
      <c r="Y213" s="42">
        <f t="shared" si="151"/>
        <v>0</v>
      </c>
      <c r="Z213" s="42">
        <f t="shared" si="152"/>
        <v>0</v>
      </c>
      <c r="AA213" s="96" t="e">
        <f t="shared" si="153"/>
        <v>#DIV/0!</v>
      </c>
      <c r="AB213" s="96" t="e">
        <f t="shared" si="154"/>
        <v>#DIV/0!</v>
      </c>
    </row>
    <row r="214" spans="1:28" hidden="1" outlineLevel="1" x14ac:dyDescent="0.25">
      <c r="A214" s="18"/>
      <c r="B214" s="38">
        <f t="shared" si="150"/>
        <v>14</v>
      </c>
      <c r="C214" s="54">
        <f t="shared" si="141"/>
        <v>115.56951872896404</v>
      </c>
      <c r="D214" s="33">
        <f>C214*VLOOKUP($A$201,Ταρίφες!$A$6:$G$23,$K$6,FALSE)*(1+$F$3)^(B214-1)</f>
        <v>38137.941180558133</v>
      </c>
      <c r="E214" s="33">
        <f>C214*VLOOKUP($A$201,Ταρίφες!$A$6:$G$23,$K$7,FALSE)*(1+$F$3)^(B214-1)</f>
        <v>27736.684494951369</v>
      </c>
      <c r="F214" s="46">
        <f t="shared" si="137"/>
        <v>-2587.213260907592</v>
      </c>
      <c r="G214" s="47">
        <f t="shared" si="138"/>
        <v>-1034.8853043630368</v>
      </c>
      <c r="H214" s="47">
        <f t="shared" si="139"/>
        <v>-3622.098565270629</v>
      </c>
      <c r="I214" s="46">
        <f t="shared" si="140"/>
        <v>-5821.2298370420822</v>
      </c>
      <c r="J214" s="47">
        <f t="shared" si="142"/>
        <v>-7340</v>
      </c>
      <c r="K214" s="47">
        <f t="shared" si="143"/>
        <v>-4610.4536953734469</v>
      </c>
      <c r="L214" s="47">
        <f t="shared" si="144"/>
        <v>-1906.1269571156879</v>
      </c>
      <c r="M214" s="47">
        <f t="shared" si="145"/>
        <v>20462.060517601349</v>
      </c>
      <c r="N214" s="47">
        <f t="shared" si="146"/>
        <v>12765.130570252342</v>
      </c>
      <c r="O214" s="34"/>
      <c r="P214" s="36">
        <f t="shared" si="147"/>
        <v>0</v>
      </c>
      <c r="Q214" s="35"/>
      <c r="R214" s="33"/>
      <c r="S214" s="43"/>
      <c r="T214" s="19"/>
      <c r="U214" s="27">
        <f t="shared" si="148"/>
        <v>20462.060517601349</v>
      </c>
      <c r="V214" s="28">
        <f t="shared" si="149"/>
        <v>12765.130570252342</v>
      </c>
      <c r="W214" s="43"/>
      <c r="X214" s="19"/>
      <c r="Y214" s="42">
        <f t="shared" si="151"/>
        <v>0</v>
      </c>
      <c r="Z214" s="42">
        <f t="shared" si="152"/>
        <v>0</v>
      </c>
      <c r="AA214" s="96" t="e">
        <f t="shared" si="153"/>
        <v>#DIV/0!</v>
      </c>
      <c r="AB214" s="96" t="e">
        <f t="shared" si="154"/>
        <v>#DIV/0!</v>
      </c>
    </row>
    <row r="215" spans="1:28" hidden="1" outlineLevel="1" x14ac:dyDescent="0.25">
      <c r="A215" s="18"/>
      <c r="B215" s="38">
        <f t="shared" si="150"/>
        <v>15</v>
      </c>
      <c r="C215" s="54">
        <f t="shared" si="141"/>
        <v>114.4138235416744</v>
      </c>
      <c r="D215" s="33">
        <f>C215*VLOOKUP($A$201,Ταρίφες!$A$6:$G$23,$K$6,FALSE)*(1+$F$3)^(B215-1)</f>
        <v>37756.561768752552</v>
      </c>
      <c r="E215" s="33">
        <f>C215*VLOOKUP($A$201,Ταρίφες!$A$6:$G$23,$K$7,FALSE)*(1+$F$3)^(B215-1)</f>
        <v>27459.317650001856</v>
      </c>
      <c r="F215" s="46">
        <f t="shared" si="137"/>
        <v>-2638.9575261257442</v>
      </c>
      <c r="G215" s="47">
        <f t="shared" si="138"/>
        <v>-1055.5830104502977</v>
      </c>
      <c r="H215" s="47">
        <f t="shared" si="139"/>
        <v>-3694.5405365760421</v>
      </c>
      <c r="I215" s="46">
        <f t="shared" si="140"/>
        <v>-5937.6544337829246</v>
      </c>
      <c r="J215" s="47">
        <f t="shared" si="142"/>
        <v>-7340</v>
      </c>
      <c r="K215" s="47">
        <f t="shared" si="143"/>
        <v>-4443.3548280725618</v>
      </c>
      <c r="L215" s="47">
        <f t="shared" si="144"/>
        <v>-1766.0713571973804</v>
      </c>
      <c r="M215" s="47">
        <f t="shared" si="145"/>
        <v>19986.47143374498</v>
      </c>
      <c r="N215" s="47">
        <f t="shared" si="146"/>
        <v>12366.510785869466</v>
      </c>
      <c r="O215" s="34"/>
      <c r="P215" s="36">
        <f t="shared" si="147"/>
        <v>0</v>
      </c>
      <c r="Q215" s="35"/>
      <c r="R215" s="33"/>
      <c r="S215" s="43"/>
      <c r="T215" s="19"/>
      <c r="U215" s="27">
        <f t="shared" si="148"/>
        <v>19986.47143374498</v>
      </c>
      <c r="V215" s="28">
        <f t="shared" si="149"/>
        <v>12366.510785869466</v>
      </c>
      <c r="W215" s="43"/>
      <c r="X215" s="19"/>
      <c r="Y215" s="42">
        <f t="shared" si="151"/>
        <v>0</v>
      </c>
      <c r="Z215" s="42">
        <f t="shared" si="152"/>
        <v>0</v>
      </c>
      <c r="AA215" s="96" t="e">
        <f t="shared" si="153"/>
        <v>#DIV/0!</v>
      </c>
      <c r="AB215" s="96" t="e">
        <f t="shared" si="154"/>
        <v>#DIV/0!</v>
      </c>
    </row>
    <row r="216" spans="1:28" hidden="1" outlineLevel="1" x14ac:dyDescent="0.25">
      <c r="A216" s="18"/>
      <c r="B216" s="38">
        <f t="shared" si="150"/>
        <v>16</v>
      </c>
      <c r="C216" s="54">
        <f t="shared" si="141"/>
        <v>113.26968530625766</v>
      </c>
      <c r="D216" s="33">
        <f>C216*VLOOKUP($A$201,Ταρίφες!$A$6:$G$23,$K$6,FALSE)*(1+$F$3)^(B216-1)</f>
        <v>37378.996151065025</v>
      </c>
      <c r="E216" s="33">
        <f>C216*VLOOKUP($A$201,Ταρίφες!$A$6:$G$23,$K$7,FALSE)*(1+$F$3)^(B216-1)</f>
        <v>27184.724473501839</v>
      </c>
      <c r="F216" s="46">
        <f t="shared" si="137"/>
        <v>-2691.7366766482583</v>
      </c>
      <c r="G216" s="47">
        <f t="shared" si="138"/>
        <v>-1076.6946706593035</v>
      </c>
      <c r="H216" s="47">
        <f t="shared" si="139"/>
        <v>-3768.4313473075617</v>
      </c>
      <c r="I216" s="46">
        <f t="shared" si="140"/>
        <v>-6056.4075224585813</v>
      </c>
      <c r="J216" s="47">
        <f t="shared" si="142"/>
        <v>-7340</v>
      </c>
      <c r="K216" s="47">
        <f t="shared" si="143"/>
        <v>-4275.8887428377438</v>
      </c>
      <c r="L216" s="47">
        <f t="shared" si="144"/>
        <v>-1625.3781066713154</v>
      </c>
      <c r="M216" s="47">
        <f t="shared" si="145"/>
        <v>19509.83719115358</v>
      </c>
      <c r="N216" s="47">
        <f t="shared" si="146"/>
        <v>11966.07614975682</v>
      </c>
      <c r="O216" s="34"/>
      <c r="P216" s="36">
        <f t="shared" si="147"/>
        <v>0</v>
      </c>
      <c r="Q216" s="35"/>
      <c r="R216" s="33"/>
      <c r="S216" s="43"/>
      <c r="T216" s="19"/>
      <c r="U216" s="27">
        <f t="shared" si="148"/>
        <v>19509.83719115358</v>
      </c>
      <c r="V216" s="28">
        <f t="shared" si="149"/>
        <v>11966.07614975682</v>
      </c>
      <c r="W216" s="43"/>
      <c r="X216" s="19"/>
      <c r="Y216" s="42">
        <f t="shared" si="151"/>
        <v>0</v>
      </c>
      <c r="Z216" s="42">
        <f t="shared" si="152"/>
        <v>0</v>
      </c>
      <c r="AA216" s="96" t="e">
        <f t="shared" si="153"/>
        <v>#DIV/0!</v>
      </c>
      <c r="AB216" s="96" t="e">
        <f t="shared" si="154"/>
        <v>#DIV/0!</v>
      </c>
    </row>
    <row r="217" spans="1:28" hidden="1" outlineLevel="1" x14ac:dyDescent="0.25">
      <c r="A217" s="18"/>
      <c r="B217" s="38">
        <f t="shared" si="150"/>
        <v>17</v>
      </c>
      <c r="C217" s="54">
        <f t="shared" si="141"/>
        <v>112.13698845319507</v>
      </c>
      <c r="D217" s="33">
        <f>C217*VLOOKUP($A$201,Ταρίφες!$A$6:$G$23,$K$6,FALSE)*(1+$F$3)^(B217-1)</f>
        <v>37005.206189554374</v>
      </c>
      <c r="E217" s="33">
        <f>C217*VLOOKUP($A$201,Ταρίφες!$A$6:$G$23,$K$7,FALSE)*(1+$F$3)^(B217-1)</f>
        <v>26912.877228766818</v>
      </c>
      <c r="F217" s="46">
        <f t="shared" si="137"/>
        <v>-2745.5714101812241</v>
      </c>
      <c r="G217" s="47">
        <f t="shared" si="138"/>
        <v>-1098.2285640724897</v>
      </c>
      <c r="H217" s="47">
        <f t="shared" si="139"/>
        <v>-3843.7999742537136</v>
      </c>
      <c r="I217" s="46">
        <f t="shared" si="140"/>
        <v>-6177.5356729077539</v>
      </c>
      <c r="J217" s="47">
        <f t="shared" si="142"/>
        <v>-7340</v>
      </c>
      <c r="K217" s="47">
        <f t="shared" si="143"/>
        <v>-4108.01834771619</v>
      </c>
      <c r="L217" s="47">
        <f t="shared" si="144"/>
        <v>-1484.0128179114254</v>
      </c>
      <c r="M217" s="47">
        <f t="shared" si="145"/>
        <v>19032.052220423</v>
      </c>
      <c r="N217" s="47">
        <f t="shared" si="146"/>
        <v>11563.728789440211</v>
      </c>
      <c r="O217" s="34"/>
      <c r="P217" s="36">
        <f t="shared" si="147"/>
        <v>0</v>
      </c>
      <c r="Q217" s="35"/>
      <c r="R217" s="33"/>
      <c r="S217" s="43"/>
      <c r="T217" s="19"/>
      <c r="U217" s="27">
        <f t="shared" si="148"/>
        <v>19032.052220423</v>
      </c>
      <c r="V217" s="28">
        <f t="shared" si="149"/>
        <v>11563.728789440211</v>
      </c>
      <c r="W217" s="43"/>
      <c r="X217" s="19"/>
      <c r="Y217" s="42">
        <f t="shared" si="151"/>
        <v>0</v>
      </c>
      <c r="Z217" s="42">
        <f t="shared" si="152"/>
        <v>0</v>
      </c>
      <c r="AA217" s="96" t="e">
        <f t="shared" si="153"/>
        <v>#DIV/0!</v>
      </c>
      <c r="AB217" s="96" t="e">
        <f t="shared" si="154"/>
        <v>#DIV/0!</v>
      </c>
    </row>
    <row r="218" spans="1:28" hidden="1" outlineLevel="1" x14ac:dyDescent="0.25">
      <c r="A218" s="18"/>
      <c r="B218" s="38">
        <f t="shared" si="150"/>
        <v>18</v>
      </c>
      <c r="C218" s="54">
        <f t="shared" si="141"/>
        <v>111.01561856866311</v>
      </c>
      <c r="D218" s="33">
        <f>C218*VLOOKUP($A$201,Ταρίφες!$A$6:$G$23,$K$6,FALSE)*(1+$F$3)^(B218-1)</f>
        <v>36635.154127658825</v>
      </c>
      <c r="E218" s="33">
        <f>C218*VLOOKUP($A$201,Ταρίφες!$A$6:$G$23,$K$7,FALSE)*(1+$F$3)^(B218-1)</f>
        <v>26643.748456479148</v>
      </c>
      <c r="F218" s="46">
        <f t="shared" si="137"/>
        <v>-2800.4828383848489</v>
      </c>
      <c r="G218" s="47">
        <f t="shared" si="138"/>
        <v>-1120.1931353539396</v>
      </c>
      <c r="H218" s="47">
        <f t="shared" si="139"/>
        <v>-3920.6759737387883</v>
      </c>
      <c r="I218" s="46">
        <f t="shared" si="140"/>
        <v>-6301.0863863659097</v>
      </c>
      <c r="J218" s="47">
        <f t="shared" si="142"/>
        <v>-7340</v>
      </c>
      <c r="K218" s="47">
        <f t="shared" si="143"/>
        <v>-3939.7061063919882</v>
      </c>
      <c r="L218" s="47">
        <f t="shared" si="144"/>
        <v>-1341.9406318852725</v>
      </c>
      <c r="M218" s="47">
        <f t="shared" si="145"/>
        <v>18553.00968742335</v>
      </c>
      <c r="N218" s="47">
        <f t="shared" si="146"/>
        <v>11159.36949075039</v>
      </c>
      <c r="O218" s="34"/>
      <c r="P218" s="36">
        <f t="shared" si="147"/>
        <v>0</v>
      </c>
      <c r="Q218" s="35"/>
      <c r="R218" s="33"/>
      <c r="S218" s="43"/>
      <c r="T218" s="19"/>
      <c r="U218" s="27">
        <f t="shared" si="148"/>
        <v>18553.00968742335</v>
      </c>
      <c r="V218" s="28">
        <f t="shared" si="149"/>
        <v>11159.36949075039</v>
      </c>
      <c r="W218" s="43"/>
      <c r="X218" s="19"/>
      <c r="Y218" s="42">
        <f t="shared" si="151"/>
        <v>0</v>
      </c>
      <c r="Z218" s="42">
        <f t="shared" si="152"/>
        <v>0</v>
      </c>
      <c r="AA218" s="96" t="e">
        <f t="shared" si="153"/>
        <v>#DIV/0!</v>
      </c>
      <c r="AB218" s="96" t="e">
        <f t="shared" si="154"/>
        <v>#DIV/0!</v>
      </c>
    </row>
    <row r="219" spans="1:28" hidden="1" outlineLevel="1" x14ac:dyDescent="0.25">
      <c r="A219" s="18"/>
      <c r="B219" s="38">
        <f t="shared" si="150"/>
        <v>19</v>
      </c>
      <c r="C219" s="54">
        <f t="shared" si="141"/>
        <v>109.90546238297648</v>
      </c>
      <c r="D219" s="33">
        <f>C219*VLOOKUP($A$201,Ταρίφες!$A$6:$G$23,$K$6,FALSE)*(1+$F$3)^(B219-1)</f>
        <v>36268.80258638224</v>
      </c>
      <c r="E219" s="33">
        <f>C219*VLOOKUP($A$201,Ταρίφες!$A$6:$G$23,$K$7,FALSE)*(1+$F$3)^(B219-1)</f>
        <v>26377.310971914354</v>
      </c>
      <c r="F219" s="46">
        <f t="shared" si="137"/>
        <v>-2856.4924951525454</v>
      </c>
      <c r="G219" s="47">
        <f t="shared" si="138"/>
        <v>-1142.5969980610182</v>
      </c>
      <c r="H219" s="47">
        <f t="shared" si="139"/>
        <v>-3999.0894932135634</v>
      </c>
      <c r="I219" s="46">
        <f t="shared" si="140"/>
        <v>-6427.1081140932274</v>
      </c>
      <c r="J219" s="47">
        <f t="shared" si="142"/>
        <v>-7340</v>
      </c>
      <c r="K219" s="47">
        <f t="shared" si="143"/>
        <v>-3770.9140263240902</v>
      </c>
      <c r="L219" s="47">
        <f t="shared" si="144"/>
        <v>-1199.1262065624396</v>
      </c>
      <c r="M219" s="47">
        <f t="shared" si="145"/>
        <v>18072.601459537793</v>
      </c>
      <c r="N219" s="47">
        <f t="shared" si="146"/>
        <v>10752.89766483156</v>
      </c>
      <c r="O219" s="34"/>
      <c r="P219" s="36">
        <f t="shared" si="147"/>
        <v>0</v>
      </c>
      <c r="Q219" s="35"/>
      <c r="R219" s="33"/>
      <c r="S219" s="43"/>
      <c r="T219" s="19"/>
      <c r="U219" s="27">
        <f t="shared" si="148"/>
        <v>18072.601459537793</v>
      </c>
      <c r="V219" s="28">
        <f t="shared" si="149"/>
        <v>10752.89766483156</v>
      </c>
      <c r="W219" s="43"/>
      <c r="X219" s="19"/>
      <c r="Y219" s="42">
        <f t="shared" si="151"/>
        <v>0</v>
      </c>
      <c r="Z219" s="42">
        <f t="shared" si="152"/>
        <v>0</v>
      </c>
      <c r="AA219" s="96" t="e">
        <f t="shared" si="153"/>
        <v>#DIV/0!</v>
      </c>
      <c r="AB219" s="96" t="e">
        <f t="shared" si="154"/>
        <v>#DIV/0!</v>
      </c>
    </row>
    <row r="220" spans="1:28" hidden="1" outlineLevel="1" x14ac:dyDescent="0.25">
      <c r="A220" s="18"/>
      <c r="B220" s="38">
        <f>B219+1</f>
        <v>20</v>
      </c>
      <c r="C220" s="54">
        <f>C219*(1-$F$2)</f>
        <v>108.80640775914671</v>
      </c>
      <c r="D220" s="33">
        <f>C220*VLOOKUP($A$201,Ταρίφες!$A$6:$G$23,$K$6,FALSE)*(1+$F$3)^(B220-1)</f>
        <v>35906.114560518414</v>
      </c>
      <c r="E220" s="33">
        <f>C220*VLOOKUP($A$201,Ταρίφες!$A$6:$G$23,$K$7,FALSE)*(1+$F$3)^(B220-1)</f>
        <v>26113.537862195211</v>
      </c>
      <c r="F220" s="46">
        <f t="shared" si="137"/>
        <v>-2913.6223450555963</v>
      </c>
      <c r="G220" s="47">
        <f t="shared" si="138"/>
        <v>-1165.4489380222385</v>
      </c>
      <c r="H220" s="47">
        <f>-$K$4*(1+$F$4)^(B220-$B$12)</f>
        <v>-4079.0712830778348</v>
      </c>
      <c r="I220" s="46">
        <f>-(4500*(1+$F$4)^(B220-$B$12))</f>
        <v>-6555.6502763750914</v>
      </c>
      <c r="J220" s="47">
        <f t="shared" si="142"/>
        <v>-7340</v>
      </c>
      <c r="K220" s="47">
        <f>-(D220+SUM(F220:J220))*$F$5</f>
        <v>-3601.6036466767896</v>
      </c>
      <c r="L220" s="47">
        <f>-(E220+SUM(F220:J220))*$F$5</f>
        <v>-1055.5337051127569</v>
      </c>
      <c r="M220" s="47">
        <f>D220+SUM(F220:I220)+K220</f>
        <v>17590.718071310861</v>
      </c>
      <c r="N220" s="47">
        <f>E220+SUM(F220:I220)+L220</f>
        <v>10344.211314551692</v>
      </c>
      <c r="O220" s="34"/>
      <c r="P220" s="36">
        <f t="shared" si="147"/>
        <v>0</v>
      </c>
      <c r="Q220" s="35"/>
      <c r="R220" s="33"/>
      <c r="S220" s="43"/>
      <c r="T220" s="19"/>
      <c r="U220" s="27">
        <f>M220</f>
        <v>17590.718071310861</v>
      </c>
      <c r="V220" s="28">
        <f>N220</f>
        <v>10344.211314551692</v>
      </c>
      <c r="W220" s="43"/>
      <c r="X220" s="19"/>
      <c r="Y220" s="42">
        <f t="shared" si="151"/>
        <v>0</v>
      </c>
      <c r="Z220" s="42">
        <f t="shared" si="152"/>
        <v>0</v>
      </c>
      <c r="AA220" s="96" t="e">
        <f t="shared" si="153"/>
        <v>#DIV/0!</v>
      </c>
      <c r="AB220" s="96" t="e">
        <f t="shared" si="154"/>
        <v>#DIV/0!</v>
      </c>
    </row>
    <row r="221" spans="1:28" s="40" customFormat="1" hidden="1" outlineLevel="1" x14ac:dyDescent="0.25">
      <c r="O221" s="17"/>
      <c r="P221" s="36">
        <f t="shared" si="147"/>
        <v>0</v>
      </c>
      <c r="Q221" s="25"/>
      <c r="R221" s="22"/>
      <c r="S221" s="52"/>
      <c r="T221" s="44"/>
      <c r="U221" s="74">
        <f>O222</f>
        <v>-170750</v>
      </c>
      <c r="V221" s="74">
        <f>R222</f>
        <v>-119568.38990559045</v>
      </c>
      <c r="W221" s="52"/>
      <c r="X221" s="44"/>
      <c r="Y221" s="42">
        <f t="shared" si="151"/>
        <v>0</v>
      </c>
      <c r="Z221" s="42">
        <f t="shared" si="152"/>
        <v>0</v>
      </c>
      <c r="AA221" s="96" t="e">
        <f t="shared" si="153"/>
        <v>#DIV/0!</v>
      </c>
      <c r="AB221" s="96" t="e">
        <f t="shared" si="154"/>
        <v>#DIV/0!</v>
      </c>
    </row>
    <row r="222" spans="1:28" collapsed="1" x14ac:dyDescent="0.25">
      <c r="A222" s="32" t="str">
        <f>Ταρίφες!A20</f>
        <v>Γ Τριμ. 2012</v>
      </c>
      <c r="B222" s="38">
        <f>1</f>
        <v>1</v>
      </c>
      <c r="C222" s="54">
        <f>$F$8*$K$2/1000</f>
        <v>131.69999999999999</v>
      </c>
      <c r="D222" s="33">
        <f>C222*VLOOKUP($A$222,Ταρίφες!$A$6:$G$23,$K$6,FALSE)*(1+$F$3)^(B222-1)</f>
        <v>40168.5</v>
      </c>
      <c r="E222" s="33">
        <f>C222*VLOOKUP($A$222,Ταρίφες!$A$6:$G$23,$K$7,FALSE)*(1+$F$3)^(B222-1)</f>
        <v>28973.999999999996</v>
      </c>
      <c r="F222" s="46">
        <f t="shared" ref="F222:F241" si="155">-($K$5*(1+$F$4)^(B222-$B$12))</f>
        <v>-2000</v>
      </c>
      <c r="G222" s="47">
        <f t="shared" ref="G222:G241" si="156">-$K$2*10*(1+$F$4)^(B222-$B$12)</f>
        <v>-800</v>
      </c>
      <c r="H222" s="47">
        <f t="shared" ref="H222:H240" si="157">-$K$4*(1+$F$4)^(B222-$B$12)</f>
        <v>-2800</v>
      </c>
      <c r="I222" s="46">
        <f t="shared" ref="I222:I240" si="158">-(4500*(1+$F$4)^(B222-$B$12))</f>
        <v>-4500</v>
      </c>
      <c r="J222" s="47">
        <f>$O$222*4%</f>
        <v>-6830</v>
      </c>
      <c r="K222" s="47">
        <f>-(D222+SUM(F222:J222))*$F$5</f>
        <v>-6042.01</v>
      </c>
      <c r="L222" s="47">
        <f>-(E222+SUM(F222:J222))*$F$5</f>
        <v>-3131.4399999999991</v>
      </c>
      <c r="M222" s="47">
        <f>D222+SUM(F222:I222)+K222</f>
        <v>24026.489999999998</v>
      </c>
      <c r="N222" s="47">
        <f>E222+SUM(F222:I222)+L222</f>
        <v>15742.559999999998</v>
      </c>
      <c r="O222" s="35">
        <f>-VLOOKUP(A222,'Κόστος Κατασκευής'!$A$4:$Q$17,$K$8,FALSE)</f>
        <v>-170750</v>
      </c>
      <c r="P222" s="36">
        <f t="shared" si="147"/>
        <v>68300</v>
      </c>
      <c r="Q222" s="36">
        <f>Q201*15/16</f>
        <v>-17118.389905590451</v>
      </c>
      <c r="R222" s="37">
        <f>SUM(O222:Q222)</f>
        <v>-119568.38990559045</v>
      </c>
      <c r="S222" s="42">
        <f>IRR(U221:U241)</f>
        <v>0.10827505687054639</v>
      </c>
      <c r="T222" s="42">
        <f>IRR(V221:V241)</f>
        <v>9.1697133462174341E-2</v>
      </c>
      <c r="U222" s="27">
        <f>M222</f>
        <v>24026.489999999998</v>
      </c>
      <c r="V222" s="28">
        <f>N222</f>
        <v>15742.559999999998</v>
      </c>
      <c r="W222" s="42">
        <f>'IRR ΔΣ Ισχύον'!S222</f>
        <v>0.21131463254256122</v>
      </c>
      <c r="X222" s="42">
        <f>'IRR ΔΣ Ισχύον'!T222</f>
        <v>0.15668917509411684</v>
      </c>
      <c r="Y222" s="42">
        <f t="shared" si="151"/>
        <v>-0.10303957567201483</v>
      </c>
      <c r="Z222" s="42">
        <f t="shared" si="152"/>
        <v>-6.4992041631942499E-2</v>
      </c>
      <c r="AA222" s="96">
        <f t="shared" si="153"/>
        <v>0.4</v>
      </c>
      <c r="AB222" s="96">
        <f t="shared" si="154"/>
        <v>0.29974588635086119</v>
      </c>
    </row>
    <row r="223" spans="1:28" hidden="1" outlineLevel="1" x14ac:dyDescent="0.25">
      <c r="A223" s="18"/>
      <c r="B223" s="38">
        <f>B222+1</f>
        <v>2</v>
      </c>
      <c r="C223" s="54">
        <f t="shared" ref="C223:C240" si="159">C222*(1-$F$2)</f>
        <v>130.38299999999998</v>
      </c>
      <c r="D223" s="33">
        <f>C223*VLOOKUP($A$222,Ταρίφες!$A$6:$G$23,$K$6,FALSE)*(1+$F$3)^(B223-1)</f>
        <v>39766.814999999995</v>
      </c>
      <c r="E223" s="33">
        <f>C223*VLOOKUP($A$222,Ταρίφες!$A$6:$G$23,$K$7,FALSE)*(1+$F$3)^(B223-1)</f>
        <v>28684.259999999995</v>
      </c>
      <c r="F223" s="46">
        <f t="shared" si="155"/>
        <v>-2040</v>
      </c>
      <c r="G223" s="47">
        <f t="shared" si="156"/>
        <v>-816</v>
      </c>
      <c r="H223" s="47">
        <f t="shared" si="157"/>
        <v>-2856</v>
      </c>
      <c r="I223" s="46">
        <f t="shared" si="158"/>
        <v>-4590</v>
      </c>
      <c r="J223" s="47">
        <f t="shared" ref="J223:J241" si="160">$O$222*4%</f>
        <v>-6830</v>
      </c>
      <c r="K223" s="47">
        <f t="shared" ref="K223:K240" si="161">-(D223+SUM(F223:J223))*$F$5</f>
        <v>-5885.0518999999986</v>
      </c>
      <c r="L223" s="47">
        <f t="shared" ref="L223:L240" si="162">-(E223+SUM(F223:J223))*$F$5</f>
        <v>-3003.5875999999989</v>
      </c>
      <c r="M223" s="47">
        <f t="shared" ref="M223:M240" si="163">D223+SUM(F223:I223)+K223</f>
        <v>23579.763099999996</v>
      </c>
      <c r="N223" s="47">
        <f t="shared" ref="N223:N240" si="164">E223+SUM(F223:I223)+L223</f>
        <v>15378.672399999996</v>
      </c>
      <c r="O223" s="34"/>
      <c r="P223" s="36">
        <f t="shared" si="147"/>
        <v>0</v>
      </c>
      <c r="Q223" s="35"/>
      <c r="R223" s="33"/>
      <c r="S223" s="43"/>
      <c r="T223" s="19"/>
      <c r="U223" s="27">
        <f t="shared" ref="U223:U240" si="165">M223</f>
        <v>23579.763099999996</v>
      </c>
      <c r="V223" s="28">
        <f t="shared" ref="V223:V240" si="166">N223</f>
        <v>15378.672399999996</v>
      </c>
      <c r="W223" s="43"/>
      <c r="X223" s="19"/>
      <c r="Y223" s="42">
        <f t="shared" si="151"/>
        <v>0</v>
      </c>
      <c r="Z223" s="42">
        <f t="shared" si="152"/>
        <v>0</v>
      </c>
      <c r="AA223" s="96" t="e">
        <f t="shared" si="153"/>
        <v>#DIV/0!</v>
      </c>
      <c r="AB223" s="96" t="e">
        <f t="shared" si="154"/>
        <v>#DIV/0!</v>
      </c>
    </row>
    <row r="224" spans="1:28" hidden="1" outlineLevel="1" x14ac:dyDescent="0.25">
      <c r="A224" s="18"/>
      <c r="B224" s="38">
        <f t="shared" ref="B224:B240" si="167">B223+1</f>
        <v>3</v>
      </c>
      <c r="C224" s="54">
        <f t="shared" si="159"/>
        <v>129.07916999999998</v>
      </c>
      <c r="D224" s="33">
        <f>C224*VLOOKUP($A$222,Ταρίφες!$A$6:$G$23,$K$6,FALSE)*(1+$F$3)^(B224-1)</f>
        <v>39369.14684999999</v>
      </c>
      <c r="E224" s="33">
        <f>C224*VLOOKUP($A$222,Ταρίφες!$A$6:$G$23,$K$7,FALSE)*(1+$F$3)^(B224-1)</f>
        <v>28397.417399999995</v>
      </c>
      <c r="F224" s="46">
        <f t="shared" si="155"/>
        <v>-2080.8000000000002</v>
      </c>
      <c r="G224" s="47">
        <f t="shared" si="156"/>
        <v>-832.31999999999994</v>
      </c>
      <c r="H224" s="47">
        <f t="shared" si="157"/>
        <v>-2913.12</v>
      </c>
      <c r="I224" s="46">
        <f t="shared" si="158"/>
        <v>-4681.8</v>
      </c>
      <c r="J224" s="47">
        <f t="shared" si="160"/>
        <v>-6830</v>
      </c>
      <c r="K224" s="47">
        <f t="shared" si="161"/>
        <v>-5728.0877809999974</v>
      </c>
      <c r="L224" s="47">
        <f t="shared" si="162"/>
        <v>-2875.4381239999984</v>
      </c>
      <c r="M224" s="47">
        <f t="shared" si="163"/>
        <v>23133.019068999991</v>
      </c>
      <c r="N224" s="47">
        <f t="shared" si="164"/>
        <v>15013.939275999996</v>
      </c>
      <c r="O224" s="34"/>
      <c r="P224" s="36">
        <f t="shared" si="147"/>
        <v>0</v>
      </c>
      <c r="Q224" s="35"/>
      <c r="R224" s="33"/>
      <c r="S224" s="43"/>
      <c r="T224" s="19"/>
      <c r="U224" s="27">
        <f t="shared" si="165"/>
        <v>23133.019068999991</v>
      </c>
      <c r="V224" s="28">
        <f t="shared" si="166"/>
        <v>15013.939275999996</v>
      </c>
      <c r="W224" s="43"/>
      <c r="X224" s="19"/>
      <c r="Y224" s="42">
        <f t="shared" si="151"/>
        <v>0</v>
      </c>
      <c r="Z224" s="42">
        <f t="shared" si="152"/>
        <v>0</v>
      </c>
      <c r="AA224" s="96" t="e">
        <f t="shared" si="153"/>
        <v>#DIV/0!</v>
      </c>
      <c r="AB224" s="96" t="e">
        <f t="shared" si="154"/>
        <v>#DIV/0!</v>
      </c>
    </row>
    <row r="225" spans="1:28" hidden="1" outlineLevel="1" x14ac:dyDescent="0.25">
      <c r="A225" s="18"/>
      <c r="B225" s="38">
        <f t="shared" si="167"/>
        <v>4</v>
      </c>
      <c r="C225" s="54">
        <f t="shared" si="159"/>
        <v>127.78837829999998</v>
      </c>
      <c r="D225" s="33">
        <f>C225*VLOOKUP($A$222,Ταρίφες!$A$6:$G$23,$K$6,FALSE)*(1+$F$3)^(B225-1)</f>
        <v>38975.455381499996</v>
      </c>
      <c r="E225" s="33">
        <f>C225*VLOOKUP($A$222,Ταρίφες!$A$6:$G$23,$K$7,FALSE)*(1+$F$3)^(B225-1)</f>
        <v>28113.443225999996</v>
      </c>
      <c r="F225" s="46">
        <f t="shared" si="155"/>
        <v>-2122.4159999999997</v>
      </c>
      <c r="G225" s="47">
        <f t="shared" si="156"/>
        <v>-848.96639999999991</v>
      </c>
      <c r="H225" s="47">
        <f t="shared" si="157"/>
        <v>-2971.3824</v>
      </c>
      <c r="I225" s="46">
        <f t="shared" si="158"/>
        <v>-4775.4359999999997</v>
      </c>
      <c r="J225" s="47">
        <f t="shared" si="160"/>
        <v>-6830</v>
      </c>
      <c r="K225" s="47">
        <f t="shared" si="161"/>
        <v>-5571.0861911899992</v>
      </c>
      <c r="L225" s="47">
        <f t="shared" si="162"/>
        <v>-2746.9630307599991</v>
      </c>
      <c r="M225" s="47">
        <f t="shared" si="163"/>
        <v>22686.168390309998</v>
      </c>
      <c r="N225" s="47">
        <f t="shared" si="164"/>
        <v>14648.279395239999</v>
      </c>
      <c r="O225" s="34"/>
      <c r="P225" s="36">
        <f t="shared" si="147"/>
        <v>0</v>
      </c>
      <c r="Q225" s="35"/>
      <c r="R225" s="33"/>
      <c r="S225" s="43"/>
      <c r="T225" s="19"/>
      <c r="U225" s="27">
        <f t="shared" si="165"/>
        <v>22686.168390309998</v>
      </c>
      <c r="V225" s="28">
        <f t="shared" si="166"/>
        <v>14648.279395239999</v>
      </c>
      <c r="W225" s="43"/>
      <c r="X225" s="19"/>
      <c r="Y225" s="42">
        <f t="shared" si="151"/>
        <v>0</v>
      </c>
      <c r="Z225" s="42">
        <f t="shared" si="152"/>
        <v>0</v>
      </c>
      <c r="AA225" s="96" t="e">
        <f t="shared" si="153"/>
        <v>#DIV/0!</v>
      </c>
      <c r="AB225" s="96" t="e">
        <f t="shared" si="154"/>
        <v>#DIV/0!</v>
      </c>
    </row>
    <row r="226" spans="1:28" hidden="1" outlineLevel="1" x14ac:dyDescent="0.25">
      <c r="A226" s="18"/>
      <c r="B226" s="38">
        <f t="shared" si="167"/>
        <v>5</v>
      </c>
      <c r="C226" s="54">
        <f t="shared" si="159"/>
        <v>126.51049451699997</v>
      </c>
      <c r="D226" s="33">
        <f>C226*VLOOKUP($A$222,Ταρίφες!$A$6:$G$23,$K$6,FALSE)*(1+$F$3)^(B226-1)</f>
        <v>38585.700827684988</v>
      </c>
      <c r="E226" s="33">
        <f>C226*VLOOKUP($A$222,Ταρίφες!$A$6:$G$23,$K$7,FALSE)*(1+$F$3)^(B226-1)</f>
        <v>27832.308793739994</v>
      </c>
      <c r="F226" s="46">
        <f t="shared" si="155"/>
        <v>-2164.8643200000001</v>
      </c>
      <c r="G226" s="47">
        <f t="shared" si="156"/>
        <v>-865.94572800000003</v>
      </c>
      <c r="H226" s="47">
        <f t="shared" si="157"/>
        <v>-3030.8100479999998</v>
      </c>
      <c r="I226" s="46">
        <f t="shared" si="158"/>
        <v>-4870.9447199999995</v>
      </c>
      <c r="J226" s="47">
        <f t="shared" si="160"/>
        <v>-6830</v>
      </c>
      <c r="K226" s="47">
        <f t="shared" si="161"/>
        <v>-5414.0153630380973</v>
      </c>
      <c r="L226" s="47">
        <f t="shared" si="162"/>
        <v>-2618.1334342123992</v>
      </c>
      <c r="M226" s="47">
        <f t="shared" si="163"/>
        <v>22239.120648646895</v>
      </c>
      <c r="N226" s="47">
        <f t="shared" si="164"/>
        <v>14281.610543527593</v>
      </c>
      <c r="O226" s="34"/>
      <c r="P226" s="36">
        <f t="shared" si="147"/>
        <v>0</v>
      </c>
      <c r="Q226" s="35"/>
      <c r="R226" s="33"/>
      <c r="S226" s="43"/>
      <c r="T226" s="19"/>
      <c r="U226" s="27">
        <f t="shared" si="165"/>
        <v>22239.120648646895</v>
      </c>
      <c r="V226" s="28">
        <f t="shared" si="166"/>
        <v>14281.610543527593</v>
      </c>
      <c r="W226" s="43"/>
      <c r="X226" s="19"/>
      <c r="Y226" s="42">
        <f t="shared" si="151"/>
        <v>0</v>
      </c>
      <c r="Z226" s="42">
        <f t="shared" si="152"/>
        <v>0</v>
      </c>
      <c r="AA226" s="96" t="e">
        <f t="shared" si="153"/>
        <v>#DIV/0!</v>
      </c>
      <c r="AB226" s="96" t="e">
        <f t="shared" si="154"/>
        <v>#DIV/0!</v>
      </c>
    </row>
    <row r="227" spans="1:28" hidden="1" outlineLevel="1" x14ac:dyDescent="0.25">
      <c r="A227" s="18"/>
      <c r="B227" s="38">
        <f t="shared" si="167"/>
        <v>6</v>
      </c>
      <c r="C227" s="54">
        <f t="shared" si="159"/>
        <v>125.24538957182997</v>
      </c>
      <c r="D227" s="33">
        <f>C227*VLOOKUP($A$222,Ταρίφες!$A$6:$G$23,$K$6,FALSE)*(1+$F$3)^(B227-1)</f>
        <v>38199.843819408139</v>
      </c>
      <c r="E227" s="33">
        <f>C227*VLOOKUP($A$222,Ταρίφες!$A$6:$G$23,$K$7,FALSE)*(1+$F$3)^(B227-1)</f>
        <v>27553.985705802595</v>
      </c>
      <c r="F227" s="46">
        <f t="shared" si="155"/>
        <v>-2208.1616064</v>
      </c>
      <c r="G227" s="47">
        <f t="shared" si="156"/>
        <v>-883.26464255999997</v>
      </c>
      <c r="H227" s="47">
        <f t="shared" si="157"/>
        <v>-3091.4262489600001</v>
      </c>
      <c r="I227" s="46">
        <f t="shared" si="158"/>
        <v>-4968.3636144000002</v>
      </c>
      <c r="J227" s="47">
        <f t="shared" si="160"/>
        <v>-6830</v>
      </c>
      <c r="K227" s="47">
        <f t="shared" si="161"/>
        <v>-5256.8432038429164</v>
      </c>
      <c r="L227" s="47">
        <f t="shared" si="162"/>
        <v>-2488.9200943054752</v>
      </c>
      <c r="M227" s="47">
        <f t="shared" si="163"/>
        <v>21791.784503245224</v>
      </c>
      <c r="N227" s="47">
        <f t="shared" si="164"/>
        <v>13913.849499177122</v>
      </c>
      <c r="O227" s="34"/>
      <c r="P227" s="36">
        <f t="shared" si="147"/>
        <v>0</v>
      </c>
      <c r="Q227" s="35"/>
      <c r="R227" s="33"/>
      <c r="S227" s="43"/>
      <c r="T227" s="19"/>
      <c r="U227" s="27">
        <f t="shared" si="165"/>
        <v>21791.784503245224</v>
      </c>
      <c r="V227" s="28">
        <f t="shared" si="166"/>
        <v>13913.849499177122</v>
      </c>
      <c r="W227" s="43"/>
      <c r="X227" s="19"/>
      <c r="Y227" s="42">
        <f t="shared" si="151"/>
        <v>0</v>
      </c>
      <c r="Z227" s="42">
        <f t="shared" si="152"/>
        <v>0</v>
      </c>
      <c r="AA227" s="96" t="e">
        <f t="shared" si="153"/>
        <v>#DIV/0!</v>
      </c>
      <c r="AB227" s="96" t="e">
        <f t="shared" si="154"/>
        <v>#DIV/0!</v>
      </c>
    </row>
    <row r="228" spans="1:28" hidden="1" outlineLevel="1" x14ac:dyDescent="0.25">
      <c r="A228" s="18"/>
      <c r="B228" s="38">
        <f t="shared" si="167"/>
        <v>7</v>
      </c>
      <c r="C228" s="54">
        <f t="shared" si="159"/>
        <v>123.99293567611167</v>
      </c>
      <c r="D228" s="33">
        <f>C228*VLOOKUP($A$222,Ταρίφες!$A$6:$G$23,$K$6,FALSE)*(1+$F$3)^(B228-1)</f>
        <v>37817.845381214058</v>
      </c>
      <c r="E228" s="33">
        <f>C228*VLOOKUP($A$222,Ταρίφες!$A$6:$G$23,$K$7,FALSE)*(1+$F$3)^(B228-1)</f>
        <v>27278.445848744566</v>
      </c>
      <c r="F228" s="46">
        <f t="shared" si="155"/>
        <v>-2252.3248385280003</v>
      </c>
      <c r="G228" s="47">
        <f t="shared" si="156"/>
        <v>-900.92993541120006</v>
      </c>
      <c r="H228" s="47">
        <f t="shared" si="157"/>
        <v>-3153.2547739392003</v>
      </c>
      <c r="I228" s="46">
        <f t="shared" si="158"/>
        <v>-5067.7308866880003</v>
      </c>
      <c r="J228" s="47">
        <f t="shared" si="160"/>
        <v>-6830</v>
      </c>
      <c r="K228" s="47">
        <f t="shared" si="161"/>
        <v>-5099.5372861283913</v>
      </c>
      <c r="L228" s="47">
        <f t="shared" si="162"/>
        <v>-2359.2934076863235</v>
      </c>
      <c r="M228" s="47">
        <f t="shared" si="163"/>
        <v>21344.067660519268</v>
      </c>
      <c r="N228" s="47">
        <f t="shared" si="164"/>
        <v>13544.912006491842</v>
      </c>
      <c r="O228" s="34"/>
      <c r="P228" s="36">
        <f t="shared" si="147"/>
        <v>0</v>
      </c>
      <c r="Q228" s="35"/>
      <c r="R228" s="33"/>
      <c r="S228" s="43"/>
      <c r="T228" s="19"/>
      <c r="U228" s="27">
        <f t="shared" si="165"/>
        <v>21344.067660519268</v>
      </c>
      <c r="V228" s="28">
        <f t="shared" si="166"/>
        <v>13544.912006491842</v>
      </c>
      <c r="W228" s="43"/>
      <c r="X228" s="19"/>
      <c r="Y228" s="42">
        <f t="shared" si="151"/>
        <v>0</v>
      </c>
      <c r="Z228" s="42">
        <f t="shared" si="152"/>
        <v>0</v>
      </c>
      <c r="AA228" s="96" t="e">
        <f t="shared" si="153"/>
        <v>#DIV/0!</v>
      </c>
      <c r="AB228" s="96" t="e">
        <f t="shared" si="154"/>
        <v>#DIV/0!</v>
      </c>
    </row>
    <row r="229" spans="1:28" hidden="1" outlineLevel="1" x14ac:dyDescent="0.25">
      <c r="A229" s="18"/>
      <c r="B229" s="38">
        <f t="shared" si="167"/>
        <v>8</v>
      </c>
      <c r="C229" s="54">
        <f t="shared" si="159"/>
        <v>122.75300631935055</v>
      </c>
      <c r="D229" s="33">
        <f>C229*VLOOKUP($A$222,Ταρίφες!$A$6:$G$23,$K$6,FALSE)*(1+$F$3)^(B229-1)</f>
        <v>37439.666927401915</v>
      </c>
      <c r="E229" s="33">
        <f>C229*VLOOKUP($A$222,Ταρίφες!$A$6:$G$23,$K$7,FALSE)*(1+$F$3)^(B229-1)</f>
        <v>27005.661390257119</v>
      </c>
      <c r="F229" s="46">
        <f t="shared" si="155"/>
        <v>-2297.3713352985596</v>
      </c>
      <c r="G229" s="47">
        <f t="shared" si="156"/>
        <v>-918.94853411942381</v>
      </c>
      <c r="H229" s="47">
        <f t="shared" si="157"/>
        <v>-3216.3198694179837</v>
      </c>
      <c r="I229" s="46">
        <f t="shared" si="158"/>
        <v>-5169.0855044217587</v>
      </c>
      <c r="J229" s="47">
        <f t="shared" si="160"/>
        <v>-6830</v>
      </c>
      <c r="K229" s="47">
        <f t="shared" si="161"/>
        <v>-4942.0648378774895</v>
      </c>
      <c r="L229" s="47">
        <f t="shared" si="162"/>
        <v>-2229.2233982198422</v>
      </c>
      <c r="M229" s="47">
        <f t="shared" si="163"/>
        <v>20895.876846266699</v>
      </c>
      <c r="N229" s="47">
        <f t="shared" si="164"/>
        <v>13174.712748779551</v>
      </c>
      <c r="O229" s="34"/>
      <c r="P229" s="36">
        <f t="shared" si="147"/>
        <v>0</v>
      </c>
      <c r="Q229" s="35"/>
      <c r="R229" s="33"/>
      <c r="S229" s="43"/>
      <c r="T229" s="19"/>
      <c r="U229" s="27">
        <f t="shared" si="165"/>
        <v>20895.876846266699</v>
      </c>
      <c r="V229" s="28">
        <f t="shared" si="166"/>
        <v>13174.712748779551</v>
      </c>
      <c r="W229" s="43"/>
      <c r="X229" s="19"/>
      <c r="Y229" s="42">
        <f t="shared" si="151"/>
        <v>0</v>
      </c>
      <c r="Z229" s="42">
        <f t="shared" si="152"/>
        <v>0</v>
      </c>
      <c r="AA229" s="96" t="e">
        <f t="shared" si="153"/>
        <v>#DIV/0!</v>
      </c>
      <c r="AB229" s="96" t="e">
        <f t="shared" si="154"/>
        <v>#DIV/0!</v>
      </c>
    </row>
    <row r="230" spans="1:28" hidden="1" outlineLevel="1" x14ac:dyDescent="0.25">
      <c r="A230" s="18"/>
      <c r="B230" s="38">
        <f t="shared" si="167"/>
        <v>9</v>
      </c>
      <c r="C230" s="54">
        <f t="shared" si="159"/>
        <v>121.52547625615703</v>
      </c>
      <c r="D230" s="33">
        <f>C230*VLOOKUP($A$222,Ταρίφες!$A$6:$G$23,$K$6,FALSE)*(1+$F$3)^(B230-1)</f>
        <v>37065.270258127894</v>
      </c>
      <c r="E230" s="33">
        <f>C230*VLOOKUP($A$222,Ταρίφες!$A$6:$G$23,$K$7,FALSE)*(1+$F$3)^(B230-1)</f>
        <v>26735.604776354547</v>
      </c>
      <c r="F230" s="46">
        <f t="shared" si="155"/>
        <v>-2343.318762004531</v>
      </c>
      <c r="G230" s="47">
        <f t="shared" si="156"/>
        <v>-937.32750480181244</v>
      </c>
      <c r="H230" s="47">
        <f t="shared" si="157"/>
        <v>-3280.6462668063436</v>
      </c>
      <c r="I230" s="46">
        <f t="shared" si="158"/>
        <v>-5272.4672145101949</v>
      </c>
      <c r="J230" s="47">
        <f t="shared" si="160"/>
        <v>-6830</v>
      </c>
      <c r="K230" s="47">
        <f t="shared" si="161"/>
        <v>-4784.3927326013036</v>
      </c>
      <c r="L230" s="47">
        <f t="shared" si="162"/>
        <v>-2098.6797073402331</v>
      </c>
      <c r="M230" s="47">
        <f t="shared" si="163"/>
        <v>20447.11777740371</v>
      </c>
      <c r="N230" s="47">
        <f t="shared" si="164"/>
        <v>12803.165320891432</v>
      </c>
      <c r="O230" s="34"/>
      <c r="P230" s="36">
        <f t="shared" si="147"/>
        <v>0</v>
      </c>
      <c r="Q230" s="35"/>
      <c r="R230" s="33"/>
      <c r="S230" s="43"/>
      <c r="T230" s="19"/>
      <c r="U230" s="27">
        <f t="shared" si="165"/>
        <v>20447.11777740371</v>
      </c>
      <c r="V230" s="28">
        <f t="shared" si="166"/>
        <v>12803.165320891432</v>
      </c>
      <c r="W230" s="43"/>
      <c r="X230" s="19"/>
      <c r="Y230" s="42">
        <f t="shared" si="151"/>
        <v>0</v>
      </c>
      <c r="Z230" s="42">
        <f t="shared" si="152"/>
        <v>0</v>
      </c>
      <c r="AA230" s="96" t="e">
        <f t="shared" si="153"/>
        <v>#DIV/0!</v>
      </c>
      <c r="AB230" s="96" t="e">
        <f t="shared" si="154"/>
        <v>#DIV/0!</v>
      </c>
    </row>
    <row r="231" spans="1:28" hidden="1" outlineLevel="1" x14ac:dyDescent="0.25">
      <c r="A231" s="18"/>
      <c r="B231" s="38">
        <f t="shared" si="167"/>
        <v>10</v>
      </c>
      <c r="C231" s="54">
        <f t="shared" si="159"/>
        <v>120.31022149359546</v>
      </c>
      <c r="D231" s="33">
        <f>C231*VLOOKUP($A$222,Ταρίφες!$A$6:$G$23,$K$6,FALSE)*(1+$F$3)^(B231-1)</f>
        <v>36694.617555546618</v>
      </c>
      <c r="E231" s="33">
        <f>C231*VLOOKUP($A$222,Ταρίφες!$A$6:$G$23,$K$7,FALSE)*(1+$F$3)^(B231-1)</f>
        <v>26468.248728591003</v>
      </c>
      <c r="F231" s="46">
        <f t="shared" si="155"/>
        <v>-2390.1851372446217</v>
      </c>
      <c r="G231" s="47">
        <f t="shared" si="156"/>
        <v>-956.07405489784867</v>
      </c>
      <c r="H231" s="47">
        <f t="shared" si="157"/>
        <v>-3346.2591921424705</v>
      </c>
      <c r="I231" s="46">
        <f t="shared" si="158"/>
        <v>-5377.9165588003989</v>
      </c>
      <c r="J231" s="47">
        <f t="shared" si="160"/>
        <v>-6830</v>
      </c>
      <c r="K231" s="47">
        <f t="shared" si="161"/>
        <v>-4626.4874792399323</v>
      </c>
      <c r="L231" s="47">
        <f t="shared" si="162"/>
        <v>-1967.6315842314725</v>
      </c>
      <c r="M231" s="47">
        <f t="shared" si="163"/>
        <v>19997.695133221347</v>
      </c>
      <c r="N231" s="47">
        <f t="shared" si="164"/>
        <v>12430.18220127419</v>
      </c>
      <c r="O231" s="34"/>
      <c r="P231" s="36">
        <f t="shared" si="147"/>
        <v>0</v>
      </c>
      <c r="Q231" s="35"/>
      <c r="R231" s="33"/>
      <c r="S231" s="43"/>
      <c r="T231" s="19"/>
      <c r="U231" s="27">
        <f t="shared" si="165"/>
        <v>19997.695133221347</v>
      </c>
      <c r="V231" s="28">
        <f t="shared" si="166"/>
        <v>12430.18220127419</v>
      </c>
      <c r="W231" s="43"/>
      <c r="X231" s="19"/>
      <c r="Y231" s="42">
        <f t="shared" si="151"/>
        <v>0</v>
      </c>
      <c r="Z231" s="42">
        <f t="shared" si="152"/>
        <v>0</v>
      </c>
      <c r="AA231" s="96" t="e">
        <f t="shared" si="153"/>
        <v>#DIV/0!</v>
      </c>
      <c r="AB231" s="96" t="e">
        <f t="shared" si="154"/>
        <v>#DIV/0!</v>
      </c>
    </row>
    <row r="232" spans="1:28" hidden="1" outlineLevel="1" x14ac:dyDescent="0.25">
      <c r="A232" s="18"/>
      <c r="B232" s="38">
        <f t="shared" si="167"/>
        <v>11</v>
      </c>
      <c r="C232" s="54">
        <f t="shared" si="159"/>
        <v>119.10711927865951</v>
      </c>
      <c r="D232" s="33">
        <f>C232*VLOOKUP($A$222,Ταρίφες!$A$6:$G$23,$K$6,FALSE)*(1+$F$3)^(B232-1)</f>
        <v>36327.671379991152</v>
      </c>
      <c r="E232" s="33">
        <f>C232*VLOOKUP($A$222,Ταρίφες!$A$6:$G$23,$K$7,FALSE)*(1+$F$3)^(B232-1)</f>
        <v>26203.566241305092</v>
      </c>
      <c r="F232" s="46">
        <f t="shared" si="155"/>
        <v>-2437.9888399895144</v>
      </c>
      <c r="G232" s="47">
        <f t="shared" si="156"/>
        <v>-975.1955359958057</v>
      </c>
      <c r="H232" s="47">
        <f t="shared" si="157"/>
        <v>-3413.18437598532</v>
      </c>
      <c r="I232" s="46">
        <f t="shared" si="158"/>
        <v>-5485.4748899764072</v>
      </c>
      <c r="J232" s="47">
        <f t="shared" si="160"/>
        <v>-6830</v>
      </c>
      <c r="K232" s="47">
        <f t="shared" si="161"/>
        <v>-4468.3152118914677</v>
      </c>
      <c r="L232" s="47">
        <f t="shared" si="162"/>
        <v>-1836.0478758330923</v>
      </c>
      <c r="M232" s="47">
        <f t="shared" si="163"/>
        <v>19547.512526152641</v>
      </c>
      <c r="N232" s="47">
        <f t="shared" si="164"/>
        <v>12055.674723524953</v>
      </c>
      <c r="O232" s="34"/>
      <c r="P232" s="36">
        <f t="shared" si="147"/>
        <v>0</v>
      </c>
      <c r="Q232" s="35"/>
      <c r="R232" s="33"/>
      <c r="S232" s="43"/>
      <c r="T232" s="19"/>
      <c r="U232" s="27">
        <f t="shared" si="165"/>
        <v>19547.512526152641</v>
      </c>
      <c r="V232" s="28">
        <f t="shared" si="166"/>
        <v>12055.674723524953</v>
      </c>
      <c r="W232" s="43"/>
      <c r="X232" s="19"/>
      <c r="Y232" s="42">
        <f t="shared" si="151"/>
        <v>0</v>
      </c>
      <c r="Z232" s="42">
        <f t="shared" si="152"/>
        <v>0</v>
      </c>
      <c r="AA232" s="96" t="e">
        <f t="shared" si="153"/>
        <v>#DIV/0!</v>
      </c>
      <c r="AB232" s="96" t="e">
        <f t="shared" si="154"/>
        <v>#DIV/0!</v>
      </c>
    </row>
    <row r="233" spans="1:28" hidden="1" outlineLevel="1" x14ac:dyDescent="0.25">
      <c r="A233" s="18"/>
      <c r="B233" s="38">
        <f t="shared" si="167"/>
        <v>12</v>
      </c>
      <c r="C233" s="54">
        <f t="shared" si="159"/>
        <v>117.91604808587292</v>
      </c>
      <c r="D233" s="33">
        <f>C233*VLOOKUP($A$222,Ταρίφες!$A$6:$G$23,$K$6,FALSE)*(1+$F$3)^(B233-1)</f>
        <v>35964.394666191241</v>
      </c>
      <c r="E233" s="33">
        <f>C233*VLOOKUP($A$222,Ταρίφες!$A$6:$G$23,$K$7,FALSE)*(1+$F$3)^(B233-1)</f>
        <v>25941.530578892041</v>
      </c>
      <c r="F233" s="46">
        <f t="shared" si="155"/>
        <v>-2486.7486167893039</v>
      </c>
      <c r="G233" s="47">
        <f t="shared" si="156"/>
        <v>-994.69944671572159</v>
      </c>
      <c r="H233" s="47">
        <f t="shared" si="157"/>
        <v>-3481.4480635050259</v>
      </c>
      <c r="I233" s="46">
        <f t="shared" si="158"/>
        <v>-5595.1843877759338</v>
      </c>
      <c r="J233" s="47">
        <f t="shared" si="160"/>
        <v>-6830</v>
      </c>
      <c r="K233" s="47">
        <f t="shared" si="161"/>
        <v>-4309.8416793653669</v>
      </c>
      <c r="L233" s="47">
        <f t="shared" si="162"/>
        <v>-1703.8970166675742</v>
      </c>
      <c r="M233" s="47">
        <f t="shared" si="163"/>
        <v>19096.472472039888</v>
      </c>
      <c r="N233" s="47">
        <f t="shared" si="164"/>
        <v>11679.553047438481</v>
      </c>
      <c r="O233" s="34"/>
      <c r="P233" s="36">
        <f t="shared" si="147"/>
        <v>0</v>
      </c>
      <c r="Q233" s="35"/>
      <c r="R233" s="33"/>
      <c r="S233" s="43"/>
      <c r="T233" s="19"/>
      <c r="U233" s="27">
        <f t="shared" si="165"/>
        <v>19096.472472039888</v>
      </c>
      <c r="V233" s="28">
        <f t="shared" si="166"/>
        <v>11679.553047438481</v>
      </c>
      <c r="W233" s="43"/>
      <c r="X233" s="19"/>
      <c r="Y233" s="42">
        <f t="shared" si="151"/>
        <v>0</v>
      </c>
      <c r="Z233" s="42">
        <f t="shared" si="152"/>
        <v>0</v>
      </c>
      <c r="AA233" s="96" t="e">
        <f t="shared" si="153"/>
        <v>#DIV/0!</v>
      </c>
      <c r="AB233" s="96" t="e">
        <f t="shared" si="154"/>
        <v>#DIV/0!</v>
      </c>
    </row>
    <row r="234" spans="1:28" hidden="1" outlineLevel="1" x14ac:dyDescent="0.25">
      <c r="A234" s="18"/>
      <c r="B234" s="38">
        <f t="shared" si="167"/>
        <v>13</v>
      </c>
      <c r="C234" s="54">
        <f t="shared" si="159"/>
        <v>116.73688760501419</v>
      </c>
      <c r="D234" s="33">
        <f>C234*VLOOKUP($A$222,Ταρίφες!$A$6:$G$23,$K$6,FALSE)*(1+$F$3)^(B234-1)</f>
        <v>35604.750719529329</v>
      </c>
      <c r="E234" s="33">
        <f>C234*VLOOKUP($A$222,Ταρίφες!$A$6:$G$23,$K$7,FALSE)*(1+$F$3)^(B234-1)</f>
        <v>25682.115273103122</v>
      </c>
      <c r="F234" s="46">
        <f t="shared" si="155"/>
        <v>-2536.4835891250905</v>
      </c>
      <c r="G234" s="47">
        <f t="shared" si="156"/>
        <v>-1014.5934356500362</v>
      </c>
      <c r="H234" s="47">
        <f t="shared" si="157"/>
        <v>-3551.0770247751266</v>
      </c>
      <c r="I234" s="46">
        <f t="shared" si="158"/>
        <v>-5707.0880755314538</v>
      </c>
      <c r="J234" s="47">
        <f t="shared" si="160"/>
        <v>-6830</v>
      </c>
      <c r="K234" s="47">
        <f t="shared" si="161"/>
        <v>-4151.0322345563818</v>
      </c>
      <c r="L234" s="47">
        <f t="shared" si="162"/>
        <v>-1571.1470184855682</v>
      </c>
      <c r="M234" s="47">
        <f t="shared" si="163"/>
        <v>18644.47635989124</v>
      </c>
      <c r="N234" s="47">
        <f t="shared" si="164"/>
        <v>11301.726129535848</v>
      </c>
      <c r="O234" s="34"/>
      <c r="P234" s="36">
        <f t="shared" si="147"/>
        <v>0</v>
      </c>
      <c r="Q234" s="35"/>
      <c r="R234" s="33"/>
      <c r="S234" s="43"/>
      <c r="T234" s="19"/>
      <c r="U234" s="27">
        <f t="shared" si="165"/>
        <v>18644.47635989124</v>
      </c>
      <c r="V234" s="28">
        <f t="shared" si="166"/>
        <v>11301.726129535848</v>
      </c>
      <c r="W234" s="43"/>
      <c r="X234" s="19"/>
      <c r="Y234" s="42">
        <f t="shared" si="151"/>
        <v>0</v>
      </c>
      <c r="Z234" s="42">
        <f t="shared" si="152"/>
        <v>0</v>
      </c>
      <c r="AA234" s="96" t="e">
        <f t="shared" si="153"/>
        <v>#DIV/0!</v>
      </c>
      <c r="AB234" s="96" t="e">
        <f t="shared" si="154"/>
        <v>#DIV/0!</v>
      </c>
    </row>
    <row r="235" spans="1:28" hidden="1" outlineLevel="1" x14ac:dyDescent="0.25">
      <c r="A235" s="18"/>
      <c r="B235" s="38">
        <f t="shared" si="167"/>
        <v>14</v>
      </c>
      <c r="C235" s="54">
        <f t="shared" si="159"/>
        <v>115.56951872896404</v>
      </c>
      <c r="D235" s="33">
        <f>C235*VLOOKUP($A$222,Ταρίφες!$A$6:$G$23,$K$6,FALSE)*(1+$F$3)^(B235-1)</f>
        <v>35248.703212334032</v>
      </c>
      <c r="E235" s="33">
        <f>C235*VLOOKUP($A$222,Ταρίφες!$A$6:$G$23,$K$7,FALSE)*(1+$F$3)^(B235-1)</f>
        <v>25425.294120372087</v>
      </c>
      <c r="F235" s="46">
        <f t="shared" si="155"/>
        <v>-2587.213260907592</v>
      </c>
      <c r="G235" s="47">
        <f t="shared" si="156"/>
        <v>-1034.8853043630368</v>
      </c>
      <c r="H235" s="47">
        <f t="shared" si="157"/>
        <v>-3622.098565270629</v>
      </c>
      <c r="I235" s="46">
        <f t="shared" si="158"/>
        <v>-5821.2298370420822</v>
      </c>
      <c r="J235" s="47">
        <f t="shared" si="160"/>
        <v>-6830</v>
      </c>
      <c r="K235" s="47">
        <f t="shared" si="161"/>
        <v>-3991.8518236351806</v>
      </c>
      <c r="L235" s="47">
        <f t="shared" si="162"/>
        <v>-1437.7654597250748</v>
      </c>
      <c r="M235" s="47">
        <f t="shared" si="163"/>
        <v>18191.424421115513</v>
      </c>
      <c r="N235" s="47">
        <f t="shared" si="164"/>
        <v>10922.101693063674</v>
      </c>
      <c r="O235" s="34"/>
      <c r="P235" s="36">
        <f t="shared" si="147"/>
        <v>0</v>
      </c>
      <c r="Q235" s="35"/>
      <c r="R235" s="33"/>
      <c r="S235" s="43"/>
      <c r="T235" s="19"/>
      <c r="U235" s="27">
        <f t="shared" si="165"/>
        <v>18191.424421115513</v>
      </c>
      <c r="V235" s="28">
        <f t="shared" si="166"/>
        <v>10922.101693063674</v>
      </c>
      <c r="W235" s="43"/>
      <c r="X235" s="19"/>
      <c r="Y235" s="42">
        <f t="shared" si="151"/>
        <v>0</v>
      </c>
      <c r="Z235" s="42">
        <f t="shared" si="152"/>
        <v>0</v>
      </c>
      <c r="AA235" s="96" t="e">
        <f t="shared" si="153"/>
        <v>#DIV/0!</v>
      </c>
      <c r="AB235" s="96" t="e">
        <f t="shared" si="154"/>
        <v>#DIV/0!</v>
      </c>
    </row>
    <row r="236" spans="1:28" hidden="1" outlineLevel="1" x14ac:dyDescent="0.25">
      <c r="A236" s="18"/>
      <c r="B236" s="38">
        <f t="shared" si="167"/>
        <v>15</v>
      </c>
      <c r="C236" s="54">
        <f t="shared" si="159"/>
        <v>114.4138235416744</v>
      </c>
      <c r="D236" s="33">
        <f>C236*VLOOKUP($A$222,Ταρίφες!$A$6:$G$23,$K$6,FALSE)*(1+$F$3)^(B236-1)</f>
        <v>34896.216180210693</v>
      </c>
      <c r="E236" s="33">
        <f>C236*VLOOKUP($A$222,Ταρίφες!$A$6:$G$23,$K$7,FALSE)*(1+$F$3)^(B236-1)</f>
        <v>25171.041179168369</v>
      </c>
      <c r="F236" s="46">
        <f t="shared" si="155"/>
        <v>-2638.9575261257442</v>
      </c>
      <c r="G236" s="47">
        <f t="shared" si="156"/>
        <v>-1055.5830104502977</v>
      </c>
      <c r="H236" s="47">
        <f t="shared" si="157"/>
        <v>-3694.5405365760421</v>
      </c>
      <c r="I236" s="46">
        <f t="shared" si="158"/>
        <v>-5937.6544337829246</v>
      </c>
      <c r="J236" s="47">
        <f t="shared" si="160"/>
        <v>-6830</v>
      </c>
      <c r="K236" s="47">
        <f t="shared" si="161"/>
        <v>-3832.264975051678</v>
      </c>
      <c r="L236" s="47">
        <f t="shared" si="162"/>
        <v>-1303.7194747806736</v>
      </c>
      <c r="M236" s="47">
        <f t="shared" si="163"/>
        <v>17737.215698224005</v>
      </c>
      <c r="N236" s="47">
        <f t="shared" si="164"/>
        <v>10540.586197452687</v>
      </c>
      <c r="O236" s="34"/>
      <c r="P236" s="36">
        <f t="shared" si="147"/>
        <v>0</v>
      </c>
      <c r="Q236" s="35"/>
      <c r="R236" s="33"/>
      <c r="S236" s="43"/>
      <c r="T236" s="19"/>
      <c r="U236" s="27">
        <f t="shared" si="165"/>
        <v>17737.215698224005</v>
      </c>
      <c r="V236" s="28">
        <f t="shared" si="166"/>
        <v>10540.586197452687</v>
      </c>
      <c r="W236" s="43"/>
      <c r="X236" s="19"/>
      <c r="Y236" s="42">
        <f t="shared" si="151"/>
        <v>0</v>
      </c>
      <c r="Z236" s="42">
        <f t="shared" si="152"/>
        <v>0</v>
      </c>
      <c r="AA236" s="96" t="e">
        <f t="shared" si="153"/>
        <v>#DIV/0!</v>
      </c>
      <c r="AB236" s="96" t="e">
        <f t="shared" si="154"/>
        <v>#DIV/0!</v>
      </c>
    </row>
    <row r="237" spans="1:28" hidden="1" outlineLevel="1" x14ac:dyDescent="0.25">
      <c r="A237" s="18"/>
      <c r="B237" s="38">
        <f t="shared" si="167"/>
        <v>16</v>
      </c>
      <c r="C237" s="54">
        <f t="shared" si="159"/>
        <v>113.26968530625766</v>
      </c>
      <c r="D237" s="33">
        <f>C237*VLOOKUP($A$222,Ταρίφες!$A$6:$G$23,$K$6,FALSE)*(1+$F$3)^(B237-1)</f>
        <v>34547.254018408588</v>
      </c>
      <c r="E237" s="33">
        <f>C237*VLOOKUP($A$222,Ταρίφες!$A$6:$G$23,$K$7,FALSE)*(1+$F$3)^(B237-1)</f>
        <v>24919.330767376683</v>
      </c>
      <c r="F237" s="46">
        <f t="shared" si="155"/>
        <v>-2691.7366766482583</v>
      </c>
      <c r="G237" s="47">
        <f t="shared" si="156"/>
        <v>-1076.6946706593035</v>
      </c>
      <c r="H237" s="47">
        <f t="shared" si="157"/>
        <v>-3768.4313473075617</v>
      </c>
      <c r="I237" s="46">
        <f t="shared" si="158"/>
        <v>-6056.4075224585813</v>
      </c>
      <c r="J237" s="47">
        <f t="shared" si="160"/>
        <v>-6830</v>
      </c>
      <c r="K237" s="47">
        <f t="shared" si="161"/>
        <v>-3672.2357883470704</v>
      </c>
      <c r="L237" s="47">
        <f t="shared" si="162"/>
        <v>-1168.9757430787749</v>
      </c>
      <c r="M237" s="47">
        <f t="shared" si="163"/>
        <v>17281.748012987817</v>
      </c>
      <c r="N237" s="47">
        <f t="shared" si="164"/>
        <v>10157.084807224204</v>
      </c>
      <c r="O237" s="34"/>
      <c r="P237" s="36">
        <f t="shared" si="147"/>
        <v>0</v>
      </c>
      <c r="Q237" s="35"/>
      <c r="R237" s="33"/>
      <c r="S237" s="43"/>
      <c r="T237" s="19"/>
      <c r="U237" s="27">
        <f t="shared" si="165"/>
        <v>17281.748012987817</v>
      </c>
      <c r="V237" s="28">
        <f t="shared" si="166"/>
        <v>10157.084807224204</v>
      </c>
      <c r="W237" s="43"/>
      <c r="X237" s="19"/>
      <c r="Y237" s="42">
        <f t="shared" si="151"/>
        <v>0</v>
      </c>
      <c r="Z237" s="42">
        <f t="shared" si="152"/>
        <v>0</v>
      </c>
      <c r="AA237" s="96" t="e">
        <f t="shared" si="153"/>
        <v>#DIV/0!</v>
      </c>
      <c r="AB237" s="96" t="e">
        <f t="shared" si="154"/>
        <v>#DIV/0!</v>
      </c>
    </row>
    <row r="238" spans="1:28" hidden="1" outlineLevel="1" x14ac:dyDescent="0.25">
      <c r="A238" s="18"/>
      <c r="B238" s="38">
        <f t="shared" si="167"/>
        <v>17</v>
      </c>
      <c r="C238" s="54">
        <f t="shared" si="159"/>
        <v>112.13698845319507</v>
      </c>
      <c r="D238" s="33">
        <f>C238*VLOOKUP($A$222,Ταρίφες!$A$6:$G$23,$K$6,FALSE)*(1+$F$3)^(B238-1)</f>
        <v>34201.781478224497</v>
      </c>
      <c r="E238" s="33">
        <f>C238*VLOOKUP($A$222,Ταρίφες!$A$6:$G$23,$K$7,FALSE)*(1+$F$3)^(B238-1)</f>
        <v>24670.137459702917</v>
      </c>
      <c r="F238" s="46">
        <f t="shared" si="155"/>
        <v>-2745.5714101812241</v>
      </c>
      <c r="G238" s="47">
        <f t="shared" si="156"/>
        <v>-1098.2285640724897</v>
      </c>
      <c r="H238" s="47">
        <f t="shared" si="157"/>
        <v>-3843.7999742537136</v>
      </c>
      <c r="I238" s="46">
        <f t="shared" si="158"/>
        <v>-6177.5356729077539</v>
      </c>
      <c r="J238" s="47">
        <f t="shared" si="160"/>
        <v>-6830</v>
      </c>
      <c r="K238" s="47">
        <f t="shared" si="161"/>
        <v>-3511.7279227704221</v>
      </c>
      <c r="L238" s="47">
        <f t="shared" si="162"/>
        <v>-1033.5004779548112</v>
      </c>
      <c r="M238" s="47">
        <f t="shared" si="163"/>
        <v>16824.917934038895</v>
      </c>
      <c r="N238" s="47">
        <f t="shared" si="164"/>
        <v>9771.5013603329244</v>
      </c>
      <c r="O238" s="34"/>
      <c r="P238" s="36">
        <f t="shared" si="147"/>
        <v>0</v>
      </c>
      <c r="Q238" s="35"/>
      <c r="R238" s="33"/>
      <c r="S238" s="43"/>
      <c r="T238" s="19"/>
      <c r="U238" s="27">
        <f t="shared" si="165"/>
        <v>16824.917934038895</v>
      </c>
      <c r="V238" s="28">
        <f t="shared" si="166"/>
        <v>9771.5013603329244</v>
      </c>
      <c r="W238" s="43"/>
      <c r="X238" s="19"/>
      <c r="Y238" s="42">
        <f t="shared" si="151"/>
        <v>0</v>
      </c>
      <c r="Z238" s="42">
        <f t="shared" si="152"/>
        <v>0</v>
      </c>
      <c r="AA238" s="96" t="e">
        <f t="shared" si="153"/>
        <v>#DIV/0!</v>
      </c>
      <c r="AB238" s="96" t="e">
        <f t="shared" si="154"/>
        <v>#DIV/0!</v>
      </c>
    </row>
    <row r="239" spans="1:28" hidden="1" outlineLevel="1" x14ac:dyDescent="0.25">
      <c r="A239" s="18"/>
      <c r="B239" s="38">
        <f t="shared" si="167"/>
        <v>18</v>
      </c>
      <c r="C239" s="54">
        <f t="shared" si="159"/>
        <v>111.01561856866311</v>
      </c>
      <c r="D239" s="33">
        <f>C239*VLOOKUP($A$222,Ταρίφες!$A$6:$G$23,$K$6,FALSE)*(1+$F$3)^(B239-1)</f>
        <v>33859.763663442252</v>
      </c>
      <c r="E239" s="33">
        <f>C239*VLOOKUP($A$222,Ταρίφες!$A$6:$G$23,$K$7,FALSE)*(1+$F$3)^(B239-1)</f>
        <v>24423.436085105885</v>
      </c>
      <c r="F239" s="46">
        <f t="shared" si="155"/>
        <v>-2800.4828383848489</v>
      </c>
      <c r="G239" s="47">
        <f t="shared" si="156"/>
        <v>-1120.1931353539396</v>
      </c>
      <c r="H239" s="47">
        <f t="shared" si="157"/>
        <v>-3920.6759737387883</v>
      </c>
      <c r="I239" s="46">
        <f t="shared" si="158"/>
        <v>-6301.0863863659097</v>
      </c>
      <c r="J239" s="47">
        <f t="shared" si="160"/>
        <v>-6830</v>
      </c>
      <c r="K239" s="47">
        <f t="shared" si="161"/>
        <v>-3350.7045856956797</v>
      </c>
      <c r="L239" s="47">
        <f t="shared" si="162"/>
        <v>-897.25941532822378</v>
      </c>
      <c r="M239" s="47">
        <f t="shared" si="163"/>
        <v>16366.620743903088</v>
      </c>
      <c r="N239" s="47">
        <f t="shared" si="164"/>
        <v>9383.7383359341748</v>
      </c>
      <c r="O239" s="34"/>
      <c r="P239" s="36">
        <f t="shared" si="147"/>
        <v>0</v>
      </c>
      <c r="Q239" s="35"/>
      <c r="R239" s="33"/>
      <c r="S239" s="43"/>
      <c r="T239" s="19"/>
      <c r="U239" s="27">
        <f t="shared" si="165"/>
        <v>16366.620743903088</v>
      </c>
      <c r="V239" s="28">
        <f t="shared" si="166"/>
        <v>9383.7383359341748</v>
      </c>
      <c r="W239" s="43"/>
      <c r="X239" s="19"/>
      <c r="Y239" s="42">
        <f t="shared" si="151"/>
        <v>0</v>
      </c>
      <c r="Z239" s="42">
        <f t="shared" si="152"/>
        <v>0</v>
      </c>
      <c r="AA239" s="96" t="e">
        <f t="shared" si="153"/>
        <v>#DIV/0!</v>
      </c>
      <c r="AB239" s="96" t="e">
        <f t="shared" si="154"/>
        <v>#DIV/0!</v>
      </c>
    </row>
    <row r="240" spans="1:28" hidden="1" outlineLevel="1" x14ac:dyDescent="0.25">
      <c r="A240" s="18"/>
      <c r="B240" s="38">
        <f t="shared" si="167"/>
        <v>19</v>
      </c>
      <c r="C240" s="54">
        <f t="shared" si="159"/>
        <v>109.90546238297648</v>
      </c>
      <c r="D240" s="33">
        <f>C240*VLOOKUP($A$222,Ταρίφες!$A$6:$G$23,$K$6,FALSE)*(1+$F$3)^(B240-1)</f>
        <v>33521.166026807827</v>
      </c>
      <c r="E240" s="33">
        <f>C240*VLOOKUP($A$222,Ταρίφες!$A$6:$G$23,$K$7,FALSE)*(1+$F$3)^(B240-1)</f>
        <v>24179.201724254825</v>
      </c>
      <c r="F240" s="46">
        <f t="shared" si="155"/>
        <v>-2856.4924951525454</v>
      </c>
      <c r="G240" s="47">
        <f t="shared" si="156"/>
        <v>-1142.5969980610182</v>
      </c>
      <c r="H240" s="47">
        <f t="shared" si="157"/>
        <v>-3999.0894932135634</v>
      </c>
      <c r="I240" s="46">
        <f t="shared" si="158"/>
        <v>-6427.1081140932274</v>
      </c>
      <c r="J240" s="47">
        <f t="shared" si="160"/>
        <v>-6830</v>
      </c>
      <c r="K240" s="47">
        <f t="shared" si="161"/>
        <v>-3189.1285208347426</v>
      </c>
      <c r="L240" s="47">
        <f t="shared" si="162"/>
        <v>-760.21780217096182</v>
      </c>
      <c r="M240" s="47">
        <f t="shared" si="163"/>
        <v>15906.750405452727</v>
      </c>
      <c r="N240" s="47">
        <f t="shared" si="164"/>
        <v>8993.6968215635079</v>
      </c>
      <c r="O240" s="34"/>
      <c r="P240" s="36">
        <f t="shared" si="147"/>
        <v>0</v>
      </c>
      <c r="Q240" s="35"/>
      <c r="R240" s="33"/>
      <c r="S240" s="43"/>
      <c r="T240" s="19"/>
      <c r="U240" s="27">
        <f t="shared" si="165"/>
        <v>15906.750405452727</v>
      </c>
      <c r="V240" s="28">
        <f t="shared" si="166"/>
        <v>8993.6968215635079</v>
      </c>
      <c r="W240" s="43"/>
      <c r="X240" s="19"/>
      <c r="Y240" s="42">
        <f t="shared" si="151"/>
        <v>0</v>
      </c>
      <c r="Z240" s="42">
        <f t="shared" si="152"/>
        <v>0</v>
      </c>
      <c r="AA240" s="96" t="e">
        <f t="shared" si="153"/>
        <v>#DIV/0!</v>
      </c>
      <c r="AB240" s="96" t="e">
        <f t="shared" si="154"/>
        <v>#DIV/0!</v>
      </c>
    </row>
    <row r="241" spans="1:28" hidden="1" outlineLevel="1" x14ac:dyDescent="0.25">
      <c r="A241" s="18"/>
      <c r="B241" s="38">
        <f>B240+1</f>
        <v>20</v>
      </c>
      <c r="C241" s="54">
        <f>C240*(1-$F$2)</f>
        <v>108.80640775914671</v>
      </c>
      <c r="D241" s="33">
        <f>C241*VLOOKUP($A$222,Ταρίφες!$A$6:$G$23,$K$6,FALSE)*(1+$F$3)^(B241-1)</f>
        <v>33185.954366539743</v>
      </c>
      <c r="E241" s="33">
        <f>C241*VLOOKUP($A$222,Ταρίφες!$A$6:$G$23,$K$7,FALSE)*(1+$F$3)^(B241-1)</f>
        <v>23937.409707012277</v>
      </c>
      <c r="F241" s="46">
        <f t="shared" si="155"/>
        <v>-2913.6223450555963</v>
      </c>
      <c r="G241" s="47">
        <f t="shared" si="156"/>
        <v>-1165.4489380222385</v>
      </c>
      <c r="H241" s="47">
        <f>-$K$4*(1+$F$4)^(B241-$B$12)</f>
        <v>-4079.0712830778348</v>
      </c>
      <c r="I241" s="46">
        <f>-(4500*(1+$F$4)^(B241-$B$12))</f>
        <v>-6555.6502763750914</v>
      </c>
      <c r="J241" s="47">
        <f t="shared" si="160"/>
        <v>-6830</v>
      </c>
      <c r="K241" s="47">
        <f>-(D241+SUM(F241:J241))*$F$5</f>
        <v>-3026.9619962423353</v>
      </c>
      <c r="L241" s="47">
        <f>-(E241+SUM(F241:J241))*$F$5</f>
        <v>-622.34038476519402</v>
      </c>
      <c r="M241" s="47">
        <f>D241+SUM(F241:I241)+K241</f>
        <v>15445.199527766646</v>
      </c>
      <c r="N241" s="47">
        <f>E241+SUM(F241:I241)+L241</f>
        <v>8601.2764797163218</v>
      </c>
      <c r="O241" s="34"/>
      <c r="P241" s="36">
        <f t="shared" si="147"/>
        <v>0</v>
      </c>
      <c r="Q241" s="35"/>
      <c r="R241" s="33"/>
      <c r="S241" s="43"/>
      <c r="T241" s="19"/>
      <c r="U241" s="27">
        <f>M241</f>
        <v>15445.199527766646</v>
      </c>
      <c r="V241" s="28">
        <f>N241</f>
        <v>8601.2764797163218</v>
      </c>
      <c r="W241" s="43"/>
      <c r="X241" s="19"/>
      <c r="Y241" s="42">
        <f t="shared" si="151"/>
        <v>0</v>
      </c>
      <c r="Z241" s="42">
        <f t="shared" si="152"/>
        <v>0</v>
      </c>
      <c r="AA241" s="96" t="e">
        <f t="shared" si="153"/>
        <v>#DIV/0!</v>
      </c>
      <c r="AB241" s="96" t="e">
        <f t="shared" si="154"/>
        <v>#DIV/0!</v>
      </c>
    </row>
    <row r="242" spans="1:28" s="40" customFormat="1" hidden="1" outlineLevel="1" x14ac:dyDescent="0.25">
      <c r="O242" s="17"/>
      <c r="P242" s="36">
        <f t="shared" si="147"/>
        <v>0</v>
      </c>
      <c r="Q242" s="25"/>
      <c r="R242" s="22"/>
      <c r="S242" s="52"/>
      <c r="T242" s="44"/>
      <c r="U242" s="74">
        <f>O243</f>
        <v>-158000</v>
      </c>
      <c r="V242" s="74">
        <f>R243</f>
        <v>-110848.49053649105</v>
      </c>
      <c r="W242" s="52"/>
      <c r="X242" s="44"/>
      <c r="Y242" s="42">
        <f t="shared" si="151"/>
        <v>0</v>
      </c>
      <c r="Z242" s="42">
        <f t="shared" si="152"/>
        <v>0</v>
      </c>
      <c r="AA242" s="96" t="e">
        <f t="shared" si="153"/>
        <v>#DIV/0!</v>
      </c>
      <c r="AB242" s="96" t="e">
        <f t="shared" si="154"/>
        <v>#DIV/0!</v>
      </c>
    </row>
    <row r="243" spans="1:28" collapsed="1" x14ac:dyDescent="0.25">
      <c r="A243" s="32" t="str">
        <f>Ταρίφες!A21</f>
        <v>Δ Τριμ. 2012</v>
      </c>
      <c r="B243" s="38">
        <f>1</f>
        <v>1</v>
      </c>
      <c r="C243" s="54">
        <f>$F$8*$K$2/1000</f>
        <v>131.69999999999999</v>
      </c>
      <c r="D243" s="33">
        <f>C243*VLOOKUP($A$243,Ταρίφες!$A$6:$G$23,$K$6,FALSE)*(1+$F$3)^(B243-1)</f>
        <v>38193</v>
      </c>
      <c r="E243" s="33">
        <f>C243*VLOOKUP($A$243,Ταρίφες!$A$6:$G$23,$K$7,FALSE)*(1+$F$3)^(B243-1)</f>
        <v>28315.499999999996</v>
      </c>
      <c r="F243" s="46">
        <f t="shared" ref="F243:F262" si="168">-($K$5*(1+$F$4)^(B243-$B$12))</f>
        <v>-2000</v>
      </c>
      <c r="G243" s="47">
        <f t="shared" ref="G243:G262" si="169">-$K$2*10*(1+$F$4)^(B243-$B$12)</f>
        <v>-800</v>
      </c>
      <c r="H243" s="47">
        <f t="shared" ref="H243:H261" si="170">-$K$4*(1+$F$4)^(B243-$B$12)</f>
        <v>-2800</v>
      </c>
      <c r="I243" s="46">
        <f t="shared" ref="I243:I261" si="171">-(4500*(1+$F$4)^(B243-$B$12))</f>
        <v>-4500</v>
      </c>
      <c r="J243" s="47">
        <f>$O$243*4%</f>
        <v>-6320</v>
      </c>
      <c r="K243" s="47">
        <f>-(D243+SUM(F243:J243))*$F$5</f>
        <v>-5660.9800000000005</v>
      </c>
      <c r="L243" s="47">
        <f>-(E243+SUM(F243:J243))*$F$5</f>
        <v>-3092.829999999999</v>
      </c>
      <c r="M243" s="47">
        <f>D243+SUM(F243:I243)+K243</f>
        <v>22432.02</v>
      </c>
      <c r="N243" s="47">
        <f>E243+SUM(F243:I243)+L243</f>
        <v>15122.669999999998</v>
      </c>
      <c r="O243" s="35">
        <f>-VLOOKUP(A243,'Κόστος Κατασκευής'!$A$4:$Q$17,$K$8,FALSE)</f>
        <v>-158000</v>
      </c>
      <c r="P243" s="36">
        <f t="shared" si="147"/>
        <v>63200</v>
      </c>
      <c r="Q243" s="36">
        <f>Q222*15/16</f>
        <v>-16048.490536491048</v>
      </c>
      <c r="R243" s="37">
        <f>SUM(O243:Q243)</f>
        <v>-110848.49053649105</v>
      </c>
      <c r="S243" s="42">
        <f>IRR(U242:U262)</f>
        <v>0.10990852032132725</v>
      </c>
      <c r="T243" s="42">
        <f>IRR(V242:V262)</f>
        <v>9.8055837921992461E-2</v>
      </c>
      <c r="U243" s="27">
        <f>M243</f>
        <v>22432.02</v>
      </c>
      <c r="V243" s="28">
        <f>N243</f>
        <v>15122.669999999998</v>
      </c>
      <c r="W243" s="42">
        <f>'IRR ΔΣ Ισχύον'!S243</f>
        <v>0.21842175994894975</v>
      </c>
      <c r="X243" s="42">
        <f>'IRR ΔΣ Ισχύον'!T243</f>
        <v>0.16295368612649752</v>
      </c>
      <c r="Y243" s="42">
        <f t="shared" si="151"/>
        <v>-0.10851323962762249</v>
      </c>
      <c r="Z243" s="94">
        <f t="shared" si="152"/>
        <v>-6.489784820450506E-2</v>
      </c>
      <c r="AA243" s="96">
        <f t="shared" si="153"/>
        <v>0.4</v>
      </c>
      <c r="AB243" s="96">
        <f t="shared" si="154"/>
        <v>0.29842727508549965</v>
      </c>
    </row>
    <row r="244" spans="1:28" hidden="1" outlineLevel="1" x14ac:dyDescent="0.25">
      <c r="A244" s="18"/>
      <c r="B244" s="38">
        <f>B243+1</f>
        <v>2</v>
      </c>
      <c r="C244" s="54">
        <f t="shared" ref="C244:C261" si="172">C243*(1-$F$2)</f>
        <v>130.38299999999998</v>
      </c>
      <c r="D244" s="33">
        <f>C244*VLOOKUP($A$243,Ταρίφες!$A$6:$G$23,$K$6,FALSE)*(1+$F$3)^(B244-1)</f>
        <v>37811.069999999992</v>
      </c>
      <c r="E244" s="33">
        <f>C244*VLOOKUP($A$243,Ταρίφες!$A$6:$G$23,$K$7,FALSE)*(1+$F$3)^(B244-1)</f>
        <v>28032.344999999998</v>
      </c>
      <c r="F244" s="46">
        <f t="shared" si="168"/>
        <v>-2040</v>
      </c>
      <c r="G244" s="47">
        <f t="shared" si="169"/>
        <v>-816</v>
      </c>
      <c r="H244" s="47">
        <f t="shared" si="170"/>
        <v>-2856</v>
      </c>
      <c r="I244" s="46">
        <f t="shared" si="171"/>
        <v>-4590</v>
      </c>
      <c r="J244" s="47">
        <f t="shared" ref="J244:J262" si="173">$O$222*4%</f>
        <v>-6830</v>
      </c>
      <c r="K244" s="47">
        <f t="shared" ref="K244:K261" si="174">-(D244+SUM(F244:J244))*$F$5</f>
        <v>-5376.5581999999986</v>
      </c>
      <c r="L244" s="47">
        <f t="shared" ref="L244:L261" si="175">-(E244+SUM(F244:J244))*$F$5</f>
        <v>-2834.0896999999995</v>
      </c>
      <c r="M244" s="47">
        <f t="shared" ref="M244:M261" si="176">D244+SUM(F244:I244)+K244</f>
        <v>22132.511799999993</v>
      </c>
      <c r="N244" s="47">
        <f t="shared" ref="N244:N261" si="177">E244+SUM(F244:I244)+L244</f>
        <v>14896.255299999997</v>
      </c>
      <c r="O244" s="34"/>
      <c r="P244" s="36">
        <f t="shared" si="147"/>
        <v>0</v>
      </c>
      <c r="Q244" s="35"/>
      <c r="R244" s="33"/>
      <c r="S244" s="43"/>
      <c r="T244" s="19"/>
      <c r="U244" s="27">
        <f t="shared" ref="U244:U261" si="178">M244</f>
        <v>22132.511799999993</v>
      </c>
      <c r="V244" s="28">
        <f t="shared" ref="V244:V261" si="179">N244</f>
        <v>14896.255299999997</v>
      </c>
      <c r="W244" s="43"/>
      <c r="X244" s="19"/>
      <c r="Y244" s="42">
        <f t="shared" si="151"/>
        <v>0</v>
      </c>
      <c r="Z244" s="94">
        <f t="shared" si="152"/>
        <v>0</v>
      </c>
      <c r="AA244" s="96" t="e">
        <f t="shared" si="153"/>
        <v>#DIV/0!</v>
      </c>
      <c r="AB244" s="96" t="e">
        <f t="shared" si="154"/>
        <v>#DIV/0!</v>
      </c>
    </row>
    <row r="245" spans="1:28" hidden="1" outlineLevel="1" x14ac:dyDescent="0.25">
      <c r="A245" s="18"/>
      <c r="B245" s="38">
        <f t="shared" ref="B245:B261" si="180">B244+1</f>
        <v>3</v>
      </c>
      <c r="C245" s="54">
        <f t="shared" si="172"/>
        <v>129.07916999999998</v>
      </c>
      <c r="D245" s="33">
        <f>C245*VLOOKUP($A$243,Ταρίφες!$A$6:$G$23,$K$6,FALSE)*(1+$F$3)^(B245-1)</f>
        <v>37432.959299999995</v>
      </c>
      <c r="E245" s="33">
        <f>C245*VLOOKUP($A$243,Ταρίφες!$A$6:$G$23,$K$7,FALSE)*(1+$F$3)^(B245-1)</f>
        <v>27752.021549999994</v>
      </c>
      <c r="F245" s="46">
        <f t="shared" si="168"/>
        <v>-2080.8000000000002</v>
      </c>
      <c r="G245" s="47">
        <f t="shared" si="169"/>
        <v>-832.31999999999994</v>
      </c>
      <c r="H245" s="47">
        <f t="shared" si="170"/>
        <v>-2913.12</v>
      </c>
      <c r="I245" s="46">
        <f t="shared" si="171"/>
        <v>-4681.8</v>
      </c>
      <c r="J245" s="47">
        <f t="shared" si="173"/>
        <v>-6830</v>
      </c>
      <c r="K245" s="47">
        <f t="shared" si="174"/>
        <v>-5224.6790179999989</v>
      </c>
      <c r="L245" s="47">
        <f t="shared" si="175"/>
        <v>-2707.6352029999985</v>
      </c>
      <c r="M245" s="47">
        <f t="shared" si="176"/>
        <v>21700.240281999995</v>
      </c>
      <c r="N245" s="47">
        <f t="shared" si="177"/>
        <v>14536.346346999995</v>
      </c>
      <c r="O245" s="34"/>
      <c r="P245" s="36">
        <f t="shared" si="147"/>
        <v>0</v>
      </c>
      <c r="Q245" s="35"/>
      <c r="R245" s="33"/>
      <c r="S245" s="43"/>
      <c r="T245" s="19"/>
      <c r="U245" s="27">
        <f t="shared" si="178"/>
        <v>21700.240281999995</v>
      </c>
      <c r="V245" s="28">
        <f t="shared" si="179"/>
        <v>14536.346346999995</v>
      </c>
      <c r="W245" s="43"/>
      <c r="X245" s="19"/>
      <c r="Y245" s="42">
        <f t="shared" si="151"/>
        <v>0</v>
      </c>
      <c r="Z245" s="94">
        <f t="shared" si="152"/>
        <v>0</v>
      </c>
      <c r="AA245" s="96" t="e">
        <f t="shared" si="153"/>
        <v>#DIV/0!</v>
      </c>
      <c r="AB245" s="96" t="e">
        <f t="shared" si="154"/>
        <v>#DIV/0!</v>
      </c>
    </row>
    <row r="246" spans="1:28" hidden="1" outlineLevel="1" x14ac:dyDescent="0.25">
      <c r="A246" s="18"/>
      <c r="B246" s="38">
        <f t="shared" si="180"/>
        <v>4</v>
      </c>
      <c r="C246" s="54">
        <f t="shared" si="172"/>
        <v>127.78837829999998</v>
      </c>
      <c r="D246" s="33">
        <f>C246*VLOOKUP($A$243,Ταρίφες!$A$6:$G$23,$K$6,FALSE)*(1+$F$3)^(B246-1)</f>
        <v>37058.629706999993</v>
      </c>
      <c r="E246" s="33">
        <f>C246*VLOOKUP($A$243,Ταρίφες!$A$6:$G$23,$K$7,FALSE)*(1+$F$3)^(B246-1)</f>
        <v>27474.501334499993</v>
      </c>
      <c r="F246" s="46">
        <f t="shared" si="168"/>
        <v>-2122.4159999999997</v>
      </c>
      <c r="G246" s="47">
        <f t="shared" si="169"/>
        <v>-848.96639999999991</v>
      </c>
      <c r="H246" s="47">
        <f t="shared" si="170"/>
        <v>-2971.3824</v>
      </c>
      <c r="I246" s="46">
        <f t="shared" si="171"/>
        <v>-4775.4359999999997</v>
      </c>
      <c r="J246" s="47">
        <f t="shared" si="173"/>
        <v>-6830</v>
      </c>
      <c r="K246" s="47">
        <f t="shared" si="174"/>
        <v>-5072.7115158199986</v>
      </c>
      <c r="L246" s="47">
        <f t="shared" si="175"/>
        <v>-2580.8381389699989</v>
      </c>
      <c r="M246" s="47">
        <f t="shared" si="176"/>
        <v>21267.717391179995</v>
      </c>
      <c r="N246" s="47">
        <f t="shared" si="177"/>
        <v>14175.462395529996</v>
      </c>
      <c r="O246" s="34"/>
      <c r="P246" s="36">
        <f t="shared" si="147"/>
        <v>0</v>
      </c>
      <c r="Q246" s="35"/>
      <c r="R246" s="33"/>
      <c r="S246" s="43"/>
      <c r="T246" s="19"/>
      <c r="U246" s="27">
        <f t="shared" si="178"/>
        <v>21267.717391179995</v>
      </c>
      <c r="V246" s="28">
        <f t="shared" si="179"/>
        <v>14175.462395529996</v>
      </c>
      <c r="W246" s="43"/>
      <c r="X246" s="19"/>
      <c r="Y246" s="42">
        <f t="shared" si="151"/>
        <v>0</v>
      </c>
      <c r="Z246" s="94">
        <f t="shared" si="152"/>
        <v>0</v>
      </c>
      <c r="AA246" s="96" t="e">
        <f t="shared" si="153"/>
        <v>#DIV/0!</v>
      </c>
      <c r="AB246" s="96" t="e">
        <f t="shared" si="154"/>
        <v>#DIV/0!</v>
      </c>
    </row>
    <row r="247" spans="1:28" hidden="1" outlineLevel="1" x14ac:dyDescent="0.25">
      <c r="A247" s="18"/>
      <c r="B247" s="38">
        <f t="shared" si="180"/>
        <v>5</v>
      </c>
      <c r="C247" s="54">
        <f t="shared" si="172"/>
        <v>126.51049451699997</v>
      </c>
      <c r="D247" s="33">
        <f>C247*VLOOKUP($A$243,Ταρίφες!$A$6:$G$23,$K$6,FALSE)*(1+$F$3)^(B247-1)</f>
        <v>36688.043409929989</v>
      </c>
      <c r="E247" s="33">
        <f>C247*VLOOKUP($A$243,Ταρίφες!$A$6:$G$23,$K$7,FALSE)*(1+$F$3)^(B247-1)</f>
        <v>27199.756321154993</v>
      </c>
      <c r="F247" s="46">
        <f t="shared" si="168"/>
        <v>-2164.8643200000001</v>
      </c>
      <c r="G247" s="47">
        <f t="shared" si="169"/>
        <v>-865.94572800000003</v>
      </c>
      <c r="H247" s="47">
        <f t="shared" si="170"/>
        <v>-3030.8100479999998</v>
      </c>
      <c r="I247" s="46">
        <f t="shared" si="171"/>
        <v>-4870.9447199999995</v>
      </c>
      <c r="J247" s="47">
        <f t="shared" si="173"/>
        <v>-6830</v>
      </c>
      <c r="K247" s="47">
        <f t="shared" si="174"/>
        <v>-4920.6244344217976</v>
      </c>
      <c r="L247" s="47">
        <f t="shared" si="175"/>
        <v>-2453.6697913402986</v>
      </c>
      <c r="M247" s="47">
        <f t="shared" si="176"/>
        <v>20834.854159508192</v>
      </c>
      <c r="N247" s="47">
        <f t="shared" si="177"/>
        <v>13813.521713814695</v>
      </c>
      <c r="O247" s="34"/>
      <c r="P247" s="36">
        <f t="shared" si="147"/>
        <v>0</v>
      </c>
      <c r="Q247" s="35"/>
      <c r="R247" s="33"/>
      <c r="S247" s="43"/>
      <c r="T247" s="19"/>
      <c r="U247" s="27">
        <f t="shared" si="178"/>
        <v>20834.854159508192</v>
      </c>
      <c r="V247" s="28">
        <f t="shared" si="179"/>
        <v>13813.521713814695</v>
      </c>
      <c r="W247" s="43"/>
      <c r="X247" s="19"/>
      <c r="Y247" s="42">
        <f t="shared" si="151"/>
        <v>0</v>
      </c>
      <c r="Z247" s="94">
        <f t="shared" si="152"/>
        <v>0</v>
      </c>
      <c r="AA247" s="96" t="e">
        <f t="shared" si="153"/>
        <v>#DIV/0!</v>
      </c>
      <c r="AB247" s="96" t="e">
        <f t="shared" si="154"/>
        <v>#DIV/0!</v>
      </c>
    </row>
    <row r="248" spans="1:28" hidden="1" outlineLevel="1" x14ac:dyDescent="0.25">
      <c r="A248" s="18"/>
      <c r="B248" s="38">
        <f t="shared" si="180"/>
        <v>6</v>
      </c>
      <c r="C248" s="54">
        <f t="shared" si="172"/>
        <v>125.24538957182997</v>
      </c>
      <c r="D248" s="33">
        <f>C248*VLOOKUP($A$243,Ταρίφες!$A$6:$G$23,$K$6,FALSE)*(1+$F$3)^(B248-1)</f>
        <v>36321.162975830695</v>
      </c>
      <c r="E248" s="33">
        <f>C248*VLOOKUP($A$243,Ταρίφες!$A$6:$G$23,$K$7,FALSE)*(1+$F$3)^(B248-1)</f>
        <v>26927.758757943444</v>
      </c>
      <c r="F248" s="46">
        <f t="shared" si="168"/>
        <v>-2208.1616064</v>
      </c>
      <c r="G248" s="47">
        <f t="shared" si="169"/>
        <v>-883.26464255999997</v>
      </c>
      <c r="H248" s="47">
        <f t="shared" si="170"/>
        <v>-3091.4262489600001</v>
      </c>
      <c r="I248" s="46">
        <f t="shared" si="171"/>
        <v>-4968.3636144000002</v>
      </c>
      <c r="J248" s="47">
        <f t="shared" si="173"/>
        <v>-6830</v>
      </c>
      <c r="K248" s="47">
        <f t="shared" si="174"/>
        <v>-4768.3861845127813</v>
      </c>
      <c r="L248" s="47">
        <f t="shared" si="175"/>
        <v>-2326.1010878620959</v>
      </c>
      <c r="M248" s="47">
        <f t="shared" si="176"/>
        <v>20401.560678997914</v>
      </c>
      <c r="N248" s="47">
        <f t="shared" si="177"/>
        <v>13450.441557761347</v>
      </c>
      <c r="O248" s="34"/>
      <c r="P248" s="36">
        <f t="shared" si="147"/>
        <v>0</v>
      </c>
      <c r="Q248" s="35"/>
      <c r="R248" s="33"/>
      <c r="S248" s="43"/>
      <c r="T248" s="19"/>
      <c r="U248" s="27">
        <f t="shared" si="178"/>
        <v>20401.560678997914</v>
      </c>
      <c r="V248" s="28">
        <f t="shared" si="179"/>
        <v>13450.441557761347</v>
      </c>
      <c r="W248" s="43"/>
      <c r="X248" s="19"/>
      <c r="Y248" s="42">
        <f t="shared" si="151"/>
        <v>0</v>
      </c>
      <c r="Z248" s="94">
        <f t="shared" si="152"/>
        <v>0</v>
      </c>
      <c r="AA248" s="96" t="e">
        <f t="shared" si="153"/>
        <v>#DIV/0!</v>
      </c>
      <c r="AB248" s="96" t="e">
        <f t="shared" si="154"/>
        <v>#DIV/0!</v>
      </c>
    </row>
    <row r="249" spans="1:28" hidden="1" outlineLevel="1" x14ac:dyDescent="0.25">
      <c r="A249" s="18"/>
      <c r="B249" s="38">
        <f t="shared" si="180"/>
        <v>7</v>
      </c>
      <c r="C249" s="54">
        <f t="shared" si="172"/>
        <v>123.99293567611167</v>
      </c>
      <c r="D249" s="33">
        <f>C249*VLOOKUP($A$243,Ταρίφες!$A$6:$G$23,$K$6,FALSE)*(1+$F$3)^(B249-1)</f>
        <v>35957.951346072383</v>
      </c>
      <c r="E249" s="33">
        <f>C249*VLOOKUP($A$243,Ταρίφες!$A$6:$G$23,$K$7,FALSE)*(1+$F$3)^(B249-1)</f>
        <v>26658.481170364008</v>
      </c>
      <c r="F249" s="46">
        <f t="shared" si="168"/>
        <v>-2252.3248385280003</v>
      </c>
      <c r="G249" s="47">
        <f t="shared" si="169"/>
        <v>-900.92993541120006</v>
      </c>
      <c r="H249" s="47">
        <f t="shared" si="170"/>
        <v>-3153.2547739392003</v>
      </c>
      <c r="I249" s="46">
        <f t="shared" si="171"/>
        <v>-5067.7308866880003</v>
      </c>
      <c r="J249" s="47">
        <f t="shared" si="173"/>
        <v>-6830</v>
      </c>
      <c r="K249" s="47">
        <f t="shared" si="174"/>
        <v>-4615.9648369915558</v>
      </c>
      <c r="L249" s="47">
        <f t="shared" si="175"/>
        <v>-2198.1025913073781</v>
      </c>
      <c r="M249" s="47">
        <f t="shared" si="176"/>
        <v>19967.746074514427</v>
      </c>
      <c r="N249" s="47">
        <f t="shared" si="177"/>
        <v>13086.138144490229</v>
      </c>
      <c r="O249" s="34"/>
      <c r="P249" s="36">
        <f t="shared" si="147"/>
        <v>0</v>
      </c>
      <c r="Q249" s="35"/>
      <c r="R249" s="33"/>
      <c r="S249" s="43"/>
      <c r="T249" s="19"/>
      <c r="U249" s="27">
        <f t="shared" si="178"/>
        <v>19967.746074514427</v>
      </c>
      <c r="V249" s="28">
        <f t="shared" si="179"/>
        <v>13086.138144490229</v>
      </c>
      <c r="W249" s="43"/>
      <c r="X249" s="19"/>
      <c r="Y249" s="42">
        <f t="shared" si="151"/>
        <v>0</v>
      </c>
      <c r="Z249" s="94">
        <f t="shared" si="152"/>
        <v>0</v>
      </c>
      <c r="AA249" s="96" t="e">
        <f t="shared" si="153"/>
        <v>#DIV/0!</v>
      </c>
      <c r="AB249" s="96" t="e">
        <f t="shared" si="154"/>
        <v>#DIV/0!</v>
      </c>
    </row>
    <row r="250" spans="1:28" hidden="1" outlineLevel="1" x14ac:dyDescent="0.25">
      <c r="A250" s="18"/>
      <c r="B250" s="38">
        <f t="shared" si="180"/>
        <v>8</v>
      </c>
      <c r="C250" s="54">
        <f t="shared" si="172"/>
        <v>122.75300631935055</v>
      </c>
      <c r="D250" s="33">
        <f>C250*VLOOKUP($A$243,Ταρίφες!$A$6:$G$23,$K$6,FALSE)*(1+$F$3)^(B250-1)</f>
        <v>35598.371832611658</v>
      </c>
      <c r="E250" s="33">
        <f>C250*VLOOKUP($A$243,Ταρίφες!$A$6:$G$23,$K$7,FALSE)*(1+$F$3)^(B250-1)</f>
        <v>26391.896358660368</v>
      </c>
      <c r="F250" s="46">
        <f t="shared" si="168"/>
        <v>-2297.3713352985596</v>
      </c>
      <c r="G250" s="47">
        <f t="shared" si="169"/>
        <v>-918.94853411942381</v>
      </c>
      <c r="H250" s="47">
        <f t="shared" si="170"/>
        <v>-3216.3198694179837</v>
      </c>
      <c r="I250" s="46">
        <f t="shared" si="171"/>
        <v>-5169.0855044217587</v>
      </c>
      <c r="J250" s="47">
        <f t="shared" si="173"/>
        <v>-6830</v>
      </c>
      <c r="K250" s="47">
        <f t="shared" si="174"/>
        <v>-4463.3281132320226</v>
      </c>
      <c r="L250" s="47">
        <f t="shared" si="175"/>
        <v>-2069.6444900046868</v>
      </c>
      <c r="M250" s="47">
        <f t="shared" si="176"/>
        <v>19533.318476121909</v>
      </c>
      <c r="N250" s="47">
        <f t="shared" si="177"/>
        <v>12720.526625397955</v>
      </c>
      <c r="O250" s="34"/>
      <c r="P250" s="36">
        <f t="shared" si="147"/>
        <v>0</v>
      </c>
      <c r="Q250" s="35"/>
      <c r="R250" s="33"/>
      <c r="S250" s="43"/>
      <c r="T250" s="19"/>
      <c r="U250" s="27">
        <f t="shared" si="178"/>
        <v>19533.318476121909</v>
      </c>
      <c r="V250" s="28">
        <f t="shared" si="179"/>
        <v>12720.526625397955</v>
      </c>
      <c r="W250" s="43"/>
      <c r="X250" s="19"/>
      <c r="Y250" s="42">
        <f t="shared" si="151"/>
        <v>0</v>
      </c>
      <c r="Z250" s="94">
        <f t="shared" si="152"/>
        <v>0</v>
      </c>
      <c r="AA250" s="96" t="e">
        <f t="shared" si="153"/>
        <v>#DIV/0!</v>
      </c>
      <c r="AB250" s="96" t="e">
        <f t="shared" si="154"/>
        <v>#DIV/0!</v>
      </c>
    </row>
    <row r="251" spans="1:28" hidden="1" outlineLevel="1" x14ac:dyDescent="0.25">
      <c r="A251" s="18"/>
      <c r="B251" s="38">
        <f t="shared" si="180"/>
        <v>9</v>
      </c>
      <c r="C251" s="54">
        <f t="shared" si="172"/>
        <v>121.52547625615703</v>
      </c>
      <c r="D251" s="33">
        <f>C251*VLOOKUP($A$243,Ταρίφες!$A$6:$G$23,$K$6,FALSE)*(1+$F$3)^(B251-1)</f>
        <v>35242.388114285539</v>
      </c>
      <c r="E251" s="33">
        <f>C251*VLOOKUP($A$243,Ταρίφες!$A$6:$G$23,$K$7,FALSE)*(1+$F$3)^(B251-1)</f>
        <v>26127.977395073762</v>
      </c>
      <c r="F251" s="46">
        <f t="shared" si="168"/>
        <v>-2343.318762004531</v>
      </c>
      <c r="G251" s="47">
        <f t="shared" si="169"/>
        <v>-937.32750480181244</v>
      </c>
      <c r="H251" s="47">
        <f t="shared" si="170"/>
        <v>-3280.6462668063436</v>
      </c>
      <c r="I251" s="46">
        <f t="shared" si="171"/>
        <v>-5272.4672145101949</v>
      </c>
      <c r="J251" s="47">
        <f t="shared" si="173"/>
        <v>-6830</v>
      </c>
      <c r="K251" s="47">
        <f t="shared" si="174"/>
        <v>-4310.4433752022915</v>
      </c>
      <c r="L251" s="47">
        <f t="shared" si="175"/>
        <v>-1940.6965882072293</v>
      </c>
      <c r="M251" s="47">
        <f t="shared" si="176"/>
        <v>19098.184990960366</v>
      </c>
      <c r="N251" s="47">
        <f t="shared" si="177"/>
        <v>12353.521058743652</v>
      </c>
      <c r="O251" s="34"/>
      <c r="P251" s="36">
        <f t="shared" si="147"/>
        <v>0</v>
      </c>
      <c r="Q251" s="35"/>
      <c r="R251" s="33"/>
      <c r="S251" s="43"/>
      <c r="T251" s="19"/>
      <c r="U251" s="27">
        <f t="shared" si="178"/>
        <v>19098.184990960366</v>
      </c>
      <c r="V251" s="28">
        <f t="shared" si="179"/>
        <v>12353.521058743652</v>
      </c>
      <c r="W251" s="43"/>
      <c r="X251" s="19"/>
      <c r="Y251" s="42">
        <f t="shared" si="151"/>
        <v>0</v>
      </c>
      <c r="Z251" s="94">
        <f t="shared" si="152"/>
        <v>0</v>
      </c>
      <c r="AA251" s="96" t="e">
        <f t="shared" si="153"/>
        <v>#DIV/0!</v>
      </c>
      <c r="AB251" s="96" t="e">
        <f t="shared" si="154"/>
        <v>#DIV/0!</v>
      </c>
    </row>
    <row r="252" spans="1:28" hidden="1" outlineLevel="1" x14ac:dyDescent="0.25">
      <c r="A252" s="18"/>
      <c r="B252" s="38">
        <f t="shared" si="180"/>
        <v>10</v>
      </c>
      <c r="C252" s="54">
        <f t="shared" si="172"/>
        <v>120.31022149359546</v>
      </c>
      <c r="D252" s="33">
        <f>C252*VLOOKUP($A$243,Ταρίφες!$A$6:$G$23,$K$6,FALSE)*(1+$F$3)^(B252-1)</f>
        <v>34889.964233142688</v>
      </c>
      <c r="E252" s="33">
        <f>C252*VLOOKUP($A$243,Ταρίφες!$A$6:$G$23,$K$7,FALSE)*(1+$F$3)^(B252-1)</f>
        <v>25866.697621123025</v>
      </c>
      <c r="F252" s="46">
        <f t="shared" si="168"/>
        <v>-2390.1851372446217</v>
      </c>
      <c r="G252" s="47">
        <f t="shared" si="169"/>
        <v>-956.07405489784867</v>
      </c>
      <c r="H252" s="47">
        <f t="shared" si="170"/>
        <v>-3346.2591921424705</v>
      </c>
      <c r="I252" s="46">
        <f t="shared" si="171"/>
        <v>-5377.9165588003989</v>
      </c>
      <c r="J252" s="47">
        <f t="shared" si="173"/>
        <v>-6830</v>
      </c>
      <c r="K252" s="47">
        <f t="shared" si="174"/>
        <v>-4157.2776154149105</v>
      </c>
      <c r="L252" s="47">
        <f t="shared" si="175"/>
        <v>-1811.2282962897982</v>
      </c>
      <c r="M252" s="47">
        <f t="shared" si="176"/>
        <v>18662.251674642437</v>
      </c>
      <c r="N252" s="47">
        <f t="shared" si="177"/>
        <v>11985.034381747886</v>
      </c>
      <c r="O252" s="34"/>
      <c r="P252" s="36">
        <f t="shared" si="147"/>
        <v>0</v>
      </c>
      <c r="Q252" s="35"/>
      <c r="R252" s="33"/>
      <c r="S252" s="43"/>
      <c r="T252" s="19"/>
      <c r="U252" s="27">
        <f t="shared" si="178"/>
        <v>18662.251674642437</v>
      </c>
      <c r="V252" s="28">
        <f t="shared" si="179"/>
        <v>11985.034381747886</v>
      </c>
      <c r="W252" s="43"/>
      <c r="X252" s="19"/>
      <c r="Y252" s="42">
        <f t="shared" si="151"/>
        <v>0</v>
      </c>
      <c r="Z252" s="94">
        <f t="shared" si="152"/>
        <v>0</v>
      </c>
      <c r="AA252" s="96" t="e">
        <f t="shared" si="153"/>
        <v>#DIV/0!</v>
      </c>
      <c r="AB252" s="96" t="e">
        <f t="shared" si="154"/>
        <v>#DIV/0!</v>
      </c>
    </row>
    <row r="253" spans="1:28" hidden="1" outlineLevel="1" x14ac:dyDescent="0.25">
      <c r="A253" s="18"/>
      <c r="B253" s="38">
        <f t="shared" si="180"/>
        <v>11</v>
      </c>
      <c r="C253" s="54">
        <f t="shared" si="172"/>
        <v>119.10711927865951</v>
      </c>
      <c r="D253" s="33">
        <f>C253*VLOOKUP($A$243,Ταρίφες!$A$6:$G$23,$K$6,FALSE)*(1+$F$3)^(B253-1)</f>
        <v>34541.064590811256</v>
      </c>
      <c r="E253" s="33">
        <f>C253*VLOOKUP($A$243,Ταρίφες!$A$6:$G$23,$K$7,FALSE)*(1+$F$3)^(B253-1)</f>
        <v>25608.030644911796</v>
      </c>
      <c r="F253" s="46">
        <f t="shared" si="168"/>
        <v>-2437.9888399895144</v>
      </c>
      <c r="G253" s="47">
        <f t="shared" si="169"/>
        <v>-975.1955359958057</v>
      </c>
      <c r="H253" s="47">
        <f t="shared" si="170"/>
        <v>-3413.18437598532</v>
      </c>
      <c r="I253" s="46">
        <f t="shared" si="171"/>
        <v>-5485.4748899764072</v>
      </c>
      <c r="J253" s="47">
        <f t="shared" si="173"/>
        <v>-6830</v>
      </c>
      <c r="K253" s="47">
        <f t="shared" si="174"/>
        <v>-4003.7974467046952</v>
      </c>
      <c r="L253" s="47">
        <f t="shared" si="175"/>
        <v>-1681.2086207708353</v>
      </c>
      <c r="M253" s="47">
        <f t="shared" si="176"/>
        <v>18225.423502159516</v>
      </c>
      <c r="N253" s="47">
        <f t="shared" si="177"/>
        <v>11614.978382193913</v>
      </c>
      <c r="O253" s="34"/>
      <c r="P253" s="36">
        <f t="shared" si="147"/>
        <v>0</v>
      </c>
      <c r="Q253" s="35"/>
      <c r="R253" s="33"/>
      <c r="S253" s="43"/>
      <c r="T253" s="19"/>
      <c r="U253" s="27">
        <f t="shared" si="178"/>
        <v>18225.423502159516</v>
      </c>
      <c r="V253" s="28">
        <f t="shared" si="179"/>
        <v>11614.978382193913</v>
      </c>
      <c r="W253" s="43"/>
      <c r="X253" s="19"/>
      <c r="Y253" s="42">
        <f t="shared" si="151"/>
        <v>0</v>
      </c>
      <c r="Z253" s="94">
        <f t="shared" si="152"/>
        <v>0</v>
      </c>
      <c r="AA253" s="96" t="e">
        <f t="shared" si="153"/>
        <v>#DIV/0!</v>
      </c>
      <c r="AB253" s="96" t="e">
        <f t="shared" si="154"/>
        <v>#DIV/0!</v>
      </c>
    </row>
    <row r="254" spans="1:28" hidden="1" outlineLevel="1" x14ac:dyDescent="0.25">
      <c r="A254" s="18"/>
      <c r="B254" s="38">
        <f t="shared" si="180"/>
        <v>12</v>
      </c>
      <c r="C254" s="54">
        <f t="shared" si="172"/>
        <v>117.91604808587292</v>
      </c>
      <c r="D254" s="33">
        <f>C254*VLOOKUP($A$243,Ταρίφες!$A$6:$G$23,$K$6,FALSE)*(1+$F$3)^(B254-1)</f>
        <v>34195.653944903148</v>
      </c>
      <c r="E254" s="33">
        <f>C254*VLOOKUP($A$243,Ταρίφες!$A$6:$G$23,$K$7,FALSE)*(1+$F$3)^(B254-1)</f>
        <v>25351.950338462677</v>
      </c>
      <c r="F254" s="46">
        <f t="shared" si="168"/>
        <v>-2486.7486167893039</v>
      </c>
      <c r="G254" s="47">
        <f t="shared" si="169"/>
        <v>-994.69944671572159</v>
      </c>
      <c r="H254" s="47">
        <f t="shared" si="170"/>
        <v>-3481.4480635050259</v>
      </c>
      <c r="I254" s="46">
        <f t="shared" si="171"/>
        <v>-5595.1843877759338</v>
      </c>
      <c r="J254" s="47">
        <f t="shared" si="173"/>
        <v>-6830</v>
      </c>
      <c r="K254" s="47">
        <f t="shared" si="174"/>
        <v>-3849.9690918304623</v>
      </c>
      <c r="L254" s="47">
        <f t="shared" si="175"/>
        <v>-1550.6061541559395</v>
      </c>
      <c r="M254" s="47">
        <f t="shared" si="176"/>
        <v>17787.604338286699</v>
      </c>
      <c r="N254" s="47">
        <f t="shared" si="177"/>
        <v>11243.263669520751</v>
      </c>
      <c r="O254" s="34"/>
      <c r="P254" s="36">
        <f t="shared" si="147"/>
        <v>0</v>
      </c>
      <c r="Q254" s="35"/>
      <c r="R254" s="33"/>
      <c r="S254" s="43"/>
      <c r="T254" s="19"/>
      <c r="U254" s="27">
        <f t="shared" si="178"/>
        <v>17787.604338286699</v>
      </c>
      <c r="V254" s="28">
        <f t="shared" si="179"/>
        <v>11243.263669520751</v>
      </c>
      <c r="W254" s="43"/>
      <c r="X254" s="19"/>
      <c r="Y254" s="42">
        <f t="shared" si="151"/>
        <v>0</v>
      </c>
      <c r="Z254" s="94">
        <f t="shared" si="152"/>
        <v>0</v>
      </c>
      <c r="AA254" s="96" t="e">
        <f t="shared" si="153"/>
        <v>#DIV/0!</v>
      </c>
      <c r="AB254" s="96" t="e">
        <f t="shared" si="154"/>
        <v>#DIV/0!</v>
      </c>
    </row>
    <row r="255" spans="1:28" hidden="1" outlineLevel="1" x14ac:dyDescent="0.25">
      <c r="A255" s="18"/>
      <c r="B255" s="38">
        <f t="shared" si="180"/>
        <v>13</v>
      </c>
      <c r="C255" s="54">
        <f t="shared" si="172"/>
        <v>116.73688760501419</v>
      </c>
      <c r="D255" s="33">
        <f>C255*VLOOKUP($A$243,Ταρίφες!$A$6:$G$23,$K$6,FALSE)*(1+$F$3)^(B255-1)</f>
        <v>33853.697405454113</v>
      </c>
      <c r="E255" s="33">
        <f>C255*VLOOKUP($A$243,Ταρίφες!$A$6:$G$23,$K$7,FALSE)*(1+$F$3)^(B255-1)</f>
        <v>25098.430835078052</v>
      </c>
      <c r="F255" s="46">
        <f t="shared" si="168"/>
        <v>-2536.4835891250905</v>
      </c>
      <c r="G255" s="47">
        <f t="shared" si="169"/>
        <v>-1014.5934356500362</v>
      </c>
      <c r="H255" s="47">
        <f t="shared" si="170"/>
        <v>-3551.0770247751266</v>
      </c>
      <c r="I255" s="46">
        <f t="shared" si="171"/>
        <v>-5707.0880755314538</v>
      </c>
      <c r="J255" s="47">
        <f t="shared" si="173"/>
        <v>-6830</v>
      </c>
      <c r="K255" s="47">
        <f t="shared" si="174"/>
        <v>-3695.7583728968261</v>
      </c>
      <c r="L255" s="47">
        <f t="shared" si="175"/>
        <v>-1419.38906459905</v>
      </c>
      <c r="M255" s="47">
        <f t="shared" si="176"/>
        <v>17348.69690747558</v>
      </c>
      <c r="N255" s="47">
        <f t="shared" si="177"/>
        <v>10869.799645397296</v>
      </c>
      <c r="O255" s="34"/>
      <c r="P255" s="36">
        <f t="shared" si="147"/>
        <v>0</v>
      </c>
      <c r="Q255" s="35"/>
      <c r="R255" s="33"/>
      <c r="S255" s="43"/>
      <c r="T255" s="19"/>
      <c r="U255" s="27">
        <f t="shared" si="178"/>
        <v>17348.69690747558</v>
      </c>
      <c r="V255" s="28">
        <f t="shared" si="179"/>
        <v>10869.799645397296</v>
      </c>
      <c r="W255" s="43"/>
      <c r="X255" s="19"/>
      <c r="Y255" s="42">
        <f t="shared" si="151"/>
        <v>0</v>
      </c>
      <c r="Z255" s="94">
        <f t="shared" si="152"/>
        <v>0</v>
      </c>
      <c r="AA255" s="96" t="e">
        <f t="shared" si="153"/>
        <v>#DIV/0!</v>
      </c>
      <c r="AB255" s="96" t="e">
        <f t="shared" si="154"/>
        <v>#DIV/0!</v>
      </c>
    </row>
    <row r="256" spans="1:28" hidden="1" outlineLevel="1" x14ac:dyDescent="0.25">
      <c r="A256" s="18"/>
      <c r="B256" s="38">
        <f t="shared" si="180"/>
        <v>14</v>
      </c>
      <c r="C256" s="54">
        <f t="shared" si="172"/>
        <v>115.56951872896404</v>
      </c>
      <c r="D256" s="33">
        <f>C256*VLOOKUP($A$243,Ταρίφες!$A$6:$G$23,$K$6,FALSE)*(1+$F$3)^(B256-1)</f>
        <v>33515.16043139957</v>
      </c>
      <c r="E256" s="33">
        <f>C256*VLOOKUP($A$243,Ταρίφες!$A$6:$G$23,$K$7,FALSE)*(1+$F$3)^(B256-1)</f>
        <v>24847.446526727268</v>
      </c>
      <c r="F256" s="46">
        <f t="shared" si="168"/>
        <v>-2587.213260907592</v>
      </c>
      <c r="G256" s="47">
        <f t="shared" si="169"/>
        <v>-1034.8853043630368</v>
      </c>
      <c r="H256" s="47">
        <f t="shared" si="170"/>
        <v>-3622.098565270629</v>
      </c>
      <c r="I256" s="46">
        <f t="shared" si="171"/>
        <v>-5821.2298370420822</v>
      </c>
      <c r="J256" s="47">
        <f t="shared" si="173"/>
        <v>-6830</v>
      </c>
      <c r="K256" s="47">
        <f t="shared" si="174"/>
        <v>-3541.1307005922204</v>
      </c>
      <c r="L256" s="47">
        <f t="shared" si="175"/>
        <v>-1287.5250853774216</v>
      </c>
      <c r="M256" s="47">
        <f t="shared" si="176"/>
        <v>16908.602763224011</v>
      </c>
      <c r="N256" s="47">
        <f t="shared" si="177"/>
        <v>10494.494473766508</v>
      </c>
      <c r="O256" s="34"/>
      <c r="P256" s="36">
        <f t="shared" si="147"/>
        <v>0</v>
      </c>
      <c r="Q256" s="35"/>
      <c r="R256" s="33"/>
      <c r="S256" s="43"/>
      <c r="T256" s="19"/>
      <c r="U256" s="27">
        <f t="shared" si="178"/>
        <v>16908.602763224011</v>
      </c>
      <c r="V256" s="28">
        <f t="shared" si="179"/>
        <v>10494.494473766508</v>
      </c>
      <c r="W256" s="43"/>
      <c r="X256" s="19"/>
      <c r="Y256" s="42">
        <f t="shared" si="151"/>
        <v>0</v>
      </c>
      <c r="Z256" s="94">
        <f t="shared" si="152"/>
        <v>0</v>
      </c>
      <c r="AA256" s="96" t="e">
        <f t="shared" si="153"/>
        <v>#DIV/0!</v>
      </c>
      <c r="AB256" s="96" t="e">
        <f t="shared" si="154"/>
        <v>#DIV/0!</v>
      </c>
    </row>
    <row r="257" spans="1:28" hidden="1" outlineLevel="1" x14ac:dyDescent="0.25">
      <c r="A257" s="18"/>
      <c r="B257" s="38">
        <f t="shared" si="180"/>
        <v>15</v>
      </c>
      <c r="C257" s="54">
        <f t="shared" si="172"/>
        <v>114.4138235416744</v>
      </c>
      <c r="D257" s="33">
        <f>C257*VLOOKUP($A$243,Ταρίφες!$A$6:$G$23,$K$6,FALSE)*(1+$F$3)^(B257-1)</f>
        <v>33180.008827085578</v>
      </c>
      <c r="E257" s="33">
        <f>C257*VLOOKUP($A$243,Ταρίφες!$A$6:$G$23,$K$7,FALSE)*(1+$F$3)^(B257-1)</f>
        <v>24598.972061459997</v>
      </c>
      <c r="F257" s="46">
        <f t="shared" si="168"/>
        <v>-2638.9575261257442</v>
      </c>
      <c r="G257" s="47">
        <f t="shared" si="169"/>
        <v>-1055.5830104502977</v>
      </c>
      <c r="H257" s="47">
        <f t="shared" si="170"/>
        <v>-3694.5405365760421</v>
      </c>
      <c r="I257" s="46">
        <f t="shared" si="171"/>
        <v>-5937.6544337829246</v>
      </c>
      <c r="J257" s="47">
        <f t="shared" si="173"/>
        <v>-6830</v>
      </c>
      <c r="K257" s="47">
        <f t="shared" si="174"/>
        <v>-3386.0510632391479</v>
      </c>
      <c r="L257" s="47">
        <f t="shared" si="175"/>
        <v>-1154.9815041764971</v>
      </c>
      <c r="M257" s="47">
        <f t="shared" si="176"/>
        <v>16467.22225691142</v>
      </c>
      <c r="N257" s="47">
        <f t="shared" si="177"/>
        <v>10117.255050348491</v>
      </c>
      <c r="O257" s="34"/>
      <c r="P257" s="36">
        <f t="shared" si="147"/>
        <v>0</v>
      </c>
      <c r="Q257" s="35"/>
      <c r="R257" s="33"/>
      <c r="S257" s="43"/>
      <c r="T257" s="19"/>
      <c r="U257" s="27">
        <f t="shared" si="178"/>
        <v>16467.22225691142</v>
      </c>
      <c r="V257" s="28">
        <f t="shared" si="179"/>
        <v>10117.255050348491</v>
      </c>
      <c r="W257" s="43"/>
      <c r="X257" s="19"/>
      <c r="Y257" s="42">
        <f t="shared" si="151"/>
        <v>0</v>
      </c>
      <c r="Z257" s="94">
        <f t="shared" si="152"/>
        <v>0</v>
      </c>
      <c r="AA257" s="96" t="e">
        <f t="shared" si="153"/>
        <v>#DIV/0!</v>
      </c>
      <c r="AB257" s="96" t="e">
        <f t="shared" si="154"/>
        <v>#DIV/0!</v>
      </c>
    </row>
    <row r="258" spans="1:28" hidden="1" outlineLevel="1" x14ac:dyDescent="0.25">
      <c r="A258" s="18"/>
      <c r="B258" s="38">
        <f t="shared" si="180"/>
        <v>16</v>
      </c>
      <c r="C258" s="54">
        <f t="shared" si="172"/>
        <v>113.26968530625766</v>
      </c>
      <c r="D258" s="33">
        <f>C258*VLOOKUP($A$243,Ταρίφες!$A$6:$G$23,$K$6,FALSE)*(1+$F$3)^(B258-1)</f>
        <v>32848.208738814719</v>
      </c>
      <c r="E258" s="33">
        <f>C258*VLOOKUP($A$243,Ταρίφες!$A$6:$G$23,$K$7,FALSE)*(1+$F$3)^(B258-1)</f>
        <v>24352.982340845396</v>
      </c>
      <c r="F258" s="46">
        <f t="shared" si="168"/>
        <v>-2691.7366766482583</v>
      </c>
      <c r="G258" s="47">
        <f t="shared" si="169"/>
        <v>-1076.6946706593035</v>
      </c>
      <c r="H258" s="47">
        <f t="shared" si="170"/>
        <v>-3768.4313473075617</v>
      </c>
      <c r="I258" s="46">
        <f t="shared" si="171"/>
        <v>-6056.4075224585813</v>
      </c>
      <c r="J258" s="47">
        <f t="shared" si="173"/>
        <v>-6830</v>
      </c>
      <c r="K258" s="47">
        <f t="shared" si="174"/>
        <v>-3230.4840156526643</v>
      </c>
      <c r="L258" s="47">
        <f t="shared" si="175"/>
        <v>-1021.7251521806402</v>
      </c>
      <c r="M258" s="47">
        <f t="shared" si="176"/>
        <v>16024.454506088352</v>
      </c>
      <c r="N258" s="47">
        <f t="shared" si="177"/>
        <v>9737.98697159105</v>
      </c>
      <c r="O258" s="34"/>
      <c r="P258" s="36">
        <f t="shared" si="147"/>
        <v>0</v>
      </c>
      <c r="Q258" s="35"/>
      <c r="R258" s="33"/>
      <c r="S258" s="43"/>
      <c r="T258" s="19"/>
      <c r="U258" s="27">
        <f t="shared" si="178"/>
        <v>16024.454506088352</v>
      </c>
      <c r="V258" s="28">
        <f t="shared" si="179"/>
        <v>9737.98697159105</v>
      </c>
      <c r="W258" s="43"/>
      <c r="X258" s="19"/>
      <c r="Y258" s="42">
        <f t="shared" si="151"/>
        <v>0</v>
      </c>
      <c r="Z258" s="94">
        <f t="shared" si="152"/>
        <v>0</v>
      </c>
      <c r="AA258" s="96" t="e">
        <f t="shared" si="153"/>
        <v>#DIV/0!</v>
      </c>
      <c r="AB258" s="96" t="e">
        <f t="shared" si="154"/>
        <v>#DIV/0!</v>
      </c>
    </row>
    <row r="259" spans="1:28" hidden="1" outlineLevel="1" x14ac:dyDescent="0.25">
      <c r="A259" s="18"/>
      <c r="B259" s="38">
        <f t="shared" si="180"/>
        <v>17</v>
      </c>
      <c r="C259" s="54">
        <f t="shared" si="172"/>
        <v>112.13698845319507</v>
      </c>
      <c r="D259" s="33">
        <f>C259*VLOOKUP($A$243,Ταρίφες!$A$6:$G$23,$K$6,FALSE)*(1+$F$3)^(B259-1)</f>
        <v>32519.726651426572</v>
      </c>
      <c r="E259" s="33">
        <f>C259*VLOOKUP($A$243,Ταρίφες!$A$6:$G$23,$K$7,FALSE)*(1+$F$3)^(B259-1)</f>
        <v>24109.452517436941</v>
      </c>
      <c r="F259" s="46">
        <f t="shared" si="168"/>
        <v>-2745.5714101812241</v>
      </c>
      <c r="G259" s="47">
        <f t="shared" si="169"/>
        <v>-1098.2285640724897</v>
      </c>
      <c r="H259" s="47">
        <f t="shared" si="170"/>
        <v>-3843.7999742537136</v>
      </c>
      <c r="I259" s="46">
        <f t="shared" si="171"/>
        <v>-6177.5356729077539</v>
      </c>
      <c r="J259" s="47">
        <f t="shared" si="173"/>
        <v>-6830</v>
      </c>
      <c r="K259" s="47">
        <f t="shared" si="174"/>
        <v>-3074.3936678029613</v>
      </c>
      <c r="L259" s="47">
        <f t="shared" si="175"/>
        <v>-887.72239296565738</v>
      </c>
      <c r="M259" s="47">
        <f t="shared" si="176"/>
        <v>15580.19736220843</v>
      </c>
      <c r="N259" s="47">
        <f t="shared" si="177"/>
        <v>9356.5945030561015</v>
      </c>
      <c r="O259" s="34"/>
      <c r="P259" s="36">
        <f t="shared" si="147"/>
        <v>0</v>
      </c>
      <c r="Q259" s="35"/>
      <c r="R259" s="33"/>
      <c r="S259" s="43"/>
      <c r="T259" s="19"/>
      <c r="U259" s="27">
        <f t="shared" si="178"/>
        <v>15580.19736220843</v>
      </c>
      <c r="V259" s="28">
        <f t="shared" si="179"/>
        <v>9356.5945030561015</v>
      </c>
      <c r="W259" s="43"/>
      <c r="X259" s="19"/>
      <c r="Y259" s="42">
        <f t="shared" si="151"/>
        <v>0</v>
      </c>
      <c r="Z259" s="94">
        <f t="shared" si="152"/>
        <v>0</v>
      </c>
      <c r="AA259" s="96" t="e">
        <f t="shared" si="153"/>
        <v>#DIV/0!</v>
      </c>
      <c r="AB259" s="96" t="e">
        <f t="shared" si="154"/>
        <v>#DIV/0!</v>
      </c>
    </row>
    <row r="260" spans="1:28" hidden="1" outlineLevel="1" x14ac:dyDescent="0.25">
      <c r="A260" s="18"/>
      <c r="B260" s="38">
        <f t="shared" si="180"/>
        <v>18</v>
      </c>
      <c r="C260" s="54">
        <f t="shared" si="172"/>
        <v>111.01561856866311</v>
      </c>
      <c r="D260" s="33">
        <f>C260*VLOOKUP($A$243,Ταρίφες!$A$6:$G$23,$K$6,FALSE)*(1+$F$3)^(B260-1)</f>
        <v>32194.529384912305</v>
      </c>
      <c r="E260" s="33">
        <f>C260*VLOOKUP($A$243,Ταρίφες!$A$6:$G$23,$K$7,FALSE)*(1+$F$3)^(B260-1)</f>
        <v>23868.357992262569</v>
      </c>
      <c r="F260" s="46">
        <f t="shared" si="168"/>
        <v>-2800.4828383848489</v>
      </c>
      <c r="G260" s="47">
        <f t="shared" si="169"/>
        <v>-1120.1931353539396</v>
      </c>
      <c r="H260" s="47">
        <f t="shared" si="170"/>
        <v>-3920.6759737387883</v>
      </c>
      <c r="I260" s="46">
        <f t="shared" si="171"/>
        <v>-6301.0863863659097</v>
      </c>
      <c r="J260" s="47">
        <f t="shared" si="173"/>
        <v>-6830</v>
      </c>
      <c r="K260" s="47">
        <f t="shared" si="174"/>
        <v>-2917.7436732778929</v>
      </c>
      <c r="L260" s="47">
        <f t="shared" si="175"/>
        <v>-752.93911118896165</v>
      </c>
      <c r="M260" s="47">
        <f t="shared" si="176"/>
        <v>15134.347377790926</v>
      </c>
      <c r="N260" s="47">
        <f t="shared" si="177"/>
        <v>8972.9805472301214</v>
      </c>
      <c r="O260" s="34"/>
      <c r="P260" s="36">
        <f t="shared" si="147"/>
        <v>0</v>
      </c>
      <c r="Q260" s="35"/>
      <c r="R260" s="33"/>
      <c r="S260" s="43"/>
      <c r="T260" s="19"/>
      <c r="U260" s="27">
        <f t="shared" si="178"/>
        <v>15134.347377790926</v>
      </c>
      <c r="V260" s="28">
        <f t="shared" si="179"/>
        <v>8972.9805472301214</v>
      </c>
      <c r="W260" s="43"/>
      <c r="X260" s="19"/>
      <c r="Y260" s="42">
        <f t="shared" si="151"/>
        <v>0</v>
      </c>
      <c r="Z260" s="94">
        <f t="shared" si="152"/>
        <v>0</v>
      </c>
      <c r="AA260" s="96" t="e">
        <f t="shared" si="153"/>
        <v>#DIV/0!</v>
      </c>
      <c r="AB260" s="96" t="e">
        <f t="shared" si="154"/>
        <v>#DIV/0!</v>
      </c>
    </row>
    <row r="261" spans="1:28" hidden="1" outlineLevel="1" x14ac:dyDescent="0.25">
      <c r="A261" s="18"/>
      <c r="B261" s="38">
        <f t="shared" si="180"/>
        <v>19</v>
      </c>
      <c r="C261" s="54">
        <f t="shared" si="172"/>
        <v>109.90546238297648</v>
      </c>
      <c r="D261" s="33">
        <f>C261*VLOOKUP($A$243,Ταρίφες!$A$6:$G$23,$K$6,FALSE)*(1+$F$3)^(B261-1)</f>
        <v>31872.584091063178</v>
      </c>
      <c r="E261" s="33">
        <f>C261*VLOOKUP($A$243,Ταρίφες!$A$6:$G$23,$K$7,FALSE)*(1+$F$3)^(B261-1)</f>
        <v>23629.674412339944</v>
      </c>
      <c r="F261" s="46">
        <f t="shared" si="168"/>
        <v>-2856.4924951525454</v>
      </c>
      <c r="G261" s="47">
        <f t="shared" si="169"/>
        <v>-1142.5969980610182</v>
      </c>
      <c r="H261" s="47">
        <f t="shared" si="170"/>
        <v>-3999.0894932135634</v>
      </c>
      <c r="I261" s="46">
        <f t="shared" si="171"/>
        <v>-6427.1081140932274</v>
      </c>
      <c r="J261" s="47">
        <f t="shared" si="173"/>
        <v>-6830</v>
      </c>
      <c r="K261" s="47">
        <f t="shared" si="174"/>
        <v>-2760.4972175411335</v>
      </c>
      <c r="L261" s="47">
        <f t="shared" si="175"/>
        <v>-617.34070107309287</v>
      </c>
      <c r="M261" s="47">
        <f t="shared" si="176"/>
        <v>14686.799773001692</v>
      </c>
      <c r="N261" s="47">
        <f t="shared" si="177"/>
        <v>8587.0466107464963</v>
      </c>
      <c r="O261" s="34"/>
      <c r="P261" s="36">
        <f t="shared" si="147"/>
        <v>0</v>
      </c>
      <c r="Q261" s="35"/>
      <c r="R261" s="33"/>
      <c r="S261" s="43"/>
      <c r="T261" s="19"/>
      <c r="U261" s="27">
        <f t="shared" si="178"/>
        <v>14686.799773001692</v>
      </c>
      <c r="V261" s="28">
        <f t="shared" si="179"/>
        <v>8587.0466107464963</v>
      </c>
      <c r="W261" s="43"/>
      <c r="X261" s="19"/>
      <c r="Y261" s="42">
        <f t="shared" si="151"/>
        <v>0</v>
      </c>
      <c r="Z261" s="94">
        <f t="shared" si="152"/>
        <v>0</v>
      </c>
      <c r="AA261" s="96" t="e">
        <f t="shared" si="153"/>
        <v>#DIV/0!</v>
      </c>
      <c r="AB261" s="96" t="e">
        <f t="shared" si="154"/>
        <v>#DIV/0!</v>
      </c>
    </row>
    <row r="262" spans="1:28" hidden="1" outlineLevel="1" x14ac:dyDescent="0.25">
      <c r="A262" s="18"/>
      <c r="B262" s="38">
        <f>B261+1</f>
        <v>20</v>
      </c>
      <c r="C262" s="54">
        <f>C261*(1-$F$2)</f>
        <v>108.80640775914671</v>
      </c>
      <c r="D262" s="33">
        <f>C262*VLOOKUP($A$243,Ταρίφες!$A$6:$G$23,$K$6,FALSE)*(1+$F$3)^(B262-1)</f>
        <v>31553.858250152545</v>
      </c>
      <c r="E262" s="33">
        <f>C262*VLOOKUP($A$243,Ταρίφες!$A$6:$G$23,$K$7,FALSE)*(1+$F$3)^(B262-1)</f>
        <v>23393.377668216541</v>
      </c>
      <c r="F262" s="46">
        <f t="shared" si="168"/>
        <v>-2913.6223450555963</v>
      </c>
      <c r="G262" s="47">
        <f t="shared" si="169"/>
        <v>-1165.4489380222385</v>
      </c>
      <c r="H262" s="47">
        <f>-$K$4*(1+$F$4)^(B262-$B$12)</f>
        <v>-4079.0712830778348</v>
      </c>
      <c r="I262" s="46">
        <f>-(4500*(1+$F$4)^(B262-$B$12))</f>
        <v>-6555.6502763750914</v>
      </c>
      <c r="J262" s="47">
        <f t="shared" si="173"/>
        <v>-6830</v>
      </c>
      <c r="K262" s="47">
        <f>-(D262+SUM(F262:J262))*$F$5</f>
        <v>-2602.6170059816636</v>
      </c>
      <c r="L262" s="47">
        <f>-(E262+SUM(F262:J262))*$F$5</f>
        <v>-480.89205467830254</v>
      </c>
      <c r="M262" s="47">
        <f>D262+SUM(F262:I262)+K262</f>
        <v>14237.44840164012</v>
      </c>
      <c r="N262" s="47">
        <f>E262+SUM(F262:I262)+L262</f>
        <v>8198.692771007476</v>
      </c>
      <c r="O262" s="34"/>
      <c r="P262" s="36">
        <f t="shared" si="147"/>
        <v>0</v>
      </c>
      <c r="Q262" s="35"/>
      <c r="R262" s="33"/>
      <c r="S262" s="43"/>
      <c r="T262" s="19"/>
      <c r="U262" s="27">
        <f>M262</f>
        <v>14237.44840164012</v>
      </c>
      <c r="V262" s="28">
        <f>N262</f>
        <v>8198.692771007476</v>
      </c>
      <c r="W262" s="43"/>
      <c r="X262" s="19"/>
      <c r="Y262" s="42">
        <f t="shared" si="151"/>
        <v>0</v>
      </c>
      <c r="Z262" s="94">
        <f t="shared" si="152"/>
        <v>0</v>
      </c>
      <c r="AA262" s="96" t="e">
        <f t="shared" si="153"/>
        <v>#DIV/0!</v>
      </c>
      <c r="AB262" s="96" t="e">
        <f t="shared" si="154"/>
        <v>#DIV/0!</v>
      </c>
    </row>
    <row r="263" spans="1:28" s="40" customFormat="1" hidden="1" outlineLevel="1" x14ac:dyDescent="0.25">
      <c r="O263" s="17"/>
      <c r="P263" s="36">
        <f t="shared" si="147"/>
        <v>0</v>
      </c>
      <c r="Q263" s="25"/>
      <c r="R263" s="22"/>
      <c r="S263" s="52"/>
      <c r="T263" s="44"/>
      <c r="U263" s="74">
        <f>O264</f>
        <v>-150850</v>
      </c>
      <c r="V263" s="74">
        <f>R264</f>
        <v>-105555.45987796035</v>
      </c>
      <c r="W263" s="52"/>
      <c r="X263" s="44"/>
      <c r="Y263" s="42">
        <f t="shared" si="151"/>
        <v>0</v>
      </c>
      <c r="Z263" s="94">
        <f t="shared" si="152"/>
        <v>0</v>
      </c>
      <c r="AA263" s="96" t="e">
        <f t="shared" si="153"/>
        <v>#DIV/0!</v>
      </c>
      <c r="AB263" s="96" t="e">
        <f t="shared" si="154"/>
        <v>#DIV/0!</v>
      </c>
    </row>
    <row r="264" spans="1:28" collapsed="1" x14ac:dyDescent="0.25">
      <c r="A264" s="32" t="str">
        <f>Ταρίφες!A22</f>
        <v>Α Τριμ. 2013</v>
      </c>
      <c r="B264" s="38">
        <f>1</f>
        <v>1</v>
      </c>
      <c r="C264" s="54">
        <f>$F$8*$K$2/1000</f>
        <v>131.69999999999999</v>
      </c>
      <c r="D264" s="33">
        <f>C264*VLOOKUP($A$264,Ταρίφες!$A$6:$G$23,$K$6,FALSE)*(1+$F$3)^(B264-1)</f>
        <v>38061.299999999996</v>
      </c>
      <c r="E264" s="33">
        <f>C264*VLOOKUP($A$264,Ταρίφες!$A$6:$G$23,$K$7,FALSE)*(1+$F$3)^(B264-1)</f>
        <v>26998.499999999996</v>
      </c>
      <c r="F264" s="46">
        <f t="shared" ref="F264:F283" si="181">-($K$5*(1+$F$4)^(B264-$B$12))</f>
        <v>-2000</v>
      </c>
      <c r="G264" s="47">
        <f t="shared" ref="G264:G283" si="182">-$K$2*10*(1+$F$4)^(B264-$B$12)</f>
        <v>-800</v>
      </c>
      <c r="H264" s="47">
        <f t="shared" ref="H264:H282" si="183">-$K$4*(1+$F$4)^(B264-$B$12)</f>
        <v>-2800</v>
      </c>
      <c r="I264" s="46">
        <f t="shared" ref="I264:I282" si="184">-(4500*(1+$F$4)^(B264-$B$12))</f>
        <v>-4500</v>
      </c>
      <c r="J264" s="47">
        <f>$O$264*4%</f>
        <v>-6034</v>
      </c>
      <c r="K264" s="47">
        <f>-(D264+SUM(F264:J264))*$F$5</f>
        <v>-5701.097999999999</v>
      </c>
      <c r="L264" s="47">
        <f>-(E264+SUM(F264:J264))*$F$5</f>
        <v>-2824.7699999999991</v>
      </c>
      <c r="M264" s="47">
        <f>D264+SUM(F264:I264)+K264</f>
        <v>22260.201999999997</v>
      </c>
      <c r="N264" s="47">
        <f>E264+SUM(F264:I264)+L264</f>
        <v>14073.729999999998</v>
      </c>
      <c r="O264" s="35">
        <f>-VLOOKUP(A264,'Κόστος Κατασκευής'!$A$4:$Q$17,$K$8,FALSE)</f>
        <v>-150850</v>
      </c>
      <c r="P264" s="36">
        <f t="shared" si="147"/>
        <v>60340</v>
      </c>
      <c r="Q264" s="36">
        <f>Q243*15/16</f>
        <v>-15045.459877960358</v>
      </c>
      <c r="R264" s="37">
        <f>SUM(O264:Q264)</f>
        <v>-105555.45987796035</v>
      </c>
      <c r="S264" s="42">
        <f>IRR(U263:U283)</f>
        <v>0.11528761012803335</v>
      </c>
      <c r="T264" s="42">
        <f>IRR(V263:V283)</f>
        <v>9.1402361816944389E-2</v>
      </c>
      <c r="U264" s="27">
        <f>M264</f>
        <v>22260.201999999997</v>
      </c>
      <c r="V264" s="28">
        <f>N264</f>
        <v>14073.729999999998</v>
      </c>
      <c r="W264" s="42">
        <f>'IRR ΔΣ Ισχύον'!S264</f>
        <v>0.18118941424560919</v>
      </c>
      <c r="X264" s="42">
        <f>'IRR ΔΣ Ισχύον'!T264</f>
        <v>0.1594610515937116</v>
      </c>
      <c r="Y264" s="42">
        <f t="shared" si="151"/>
        <v>-6.5901804117575846E-2</v>
      </c>
      <c r="Z264" s="94">
        <f t="shared" si="152"/>
        <v>-6.8058689776767212E-2</v>
      </c>
      <c r="AA264" s="96">
        <f t="shared" si="153"/>
        <v>0.4</v>
      </c>
      <c r="AB264" s="96">
        <f t="shared" si="154"/>
        <v>0.30026211549247361</v>
      </c>
    </row>
    <row r="265" spans="1:28" hidden="1" outlineLevel="1" x14ac:dyDescent="0.25">
      <c r="A265" s="18"/>
      <c r="B265" s="38">
        <f>B264+1</f>
        <v>2</v>
      </c>
      <c r="C265" s="54">
        <f t="shared" ref="C265:C282" si="185">C264*(1-$F$2)</f>
        <v>130.38299999999998</v>
      </c>
      <c r="D265" s="33">
        <f>C265*VLOOKUP($A$264,Ταρίφες!$A$6:$G$23,$K$6,FALSE)*(1+$F$3)^(B265-1)</f>
        <v>37680.686999999998</v>
      </c>
      <c r="E265" s="33">
        <f>C265*VLOOKUP($A$264,Ταρίφες!$A$6:$G$23,$K$7,FALSE)*(1+$F$3)^(B265-1)</f>
        <v>26728.514999999996</v>
      </c>
      <c r="F265" s="46">
        <f t="shared" si="181"/>
        <v>-2040</v>
      </c>
      <c r="G265" s="47">
        <f t="shared" si="182"/>
        <v>-816</v>
      </c>
      <c r="H265" s="47">
        <f t="shared" si="183"/>
        <v>-2856</v>
      </c>
      <c r="I265" s="46">
        <f t="shared" si="184"/>
        <v>-4590</v>
      </c>
      <c r="J265" s="47">
        <f t="shared" ref="J265:J283" si="186">$O$264*4%</f>
        <v>-6034</v>
      </c>
      <c r="K265" s="47">
        <f t="shared" ref="K265:K282" si="187">-(D265+SUM(F265:J265))*$F$5</f>
        <v>-5549.6186199999993</v>
      </c>
      <c r="L265" s="47">
        <f t="shared" ref="L265:L282" si="188">-(E265+SUM(F265:J265))*$F$5</f>
        <v>-2702.053899999999</v>
      </c>
      <c r="M265" s="47">
        <f t="shared" ref="M265:M282" si="189">D265+SUM(F265:I265)+K265</f>
        <v>21829.068379999997</v>
      </c>
      <c r="N265" s="47">
        <f t="shared" ref="N265:N282" si="190">E265+SUM(F265:I265)+L265</f>
        <v>13724.461099999997</v>
      </c>
      <c r="O265" s="34"/>
      <c r="P265" s="36">
        <f t="shared" si="147"/>
        <v>0</v>
      </c>
      <c r="Q265" s="35"/>
      <c r="R265" s="33"/>
      <c r="S265" s="43"/>
      <c r="T265" s="19"/>
      <c r="U265" s="27">
        <f t="shared" ref="U265:U282" si="191">M265</f>
        <v>21829.068379999997</v>
      </c>
      <c r="V265" s="28">
        <f t="shared" ref="V265:V282" si="192">N265</f>
        <v>13724.461099999997</v>
      </c>
      <c r="W265" s="43"/>
      <c r="X265" s="19"/>
      <c r="Y265" s="42">
        <f t="shared" si="151"/>
        <v>0</v>
      </c>
      <c r="Z265" s="94">
        <f t="shared" si="152"/>
        <v>0</v>
      </c>
      <c r="AA265" s="96" t="e">
        <f t="shared" si="153"/>
        <v>#DIV/0!</v>
      </c>
      <c r="AB265" s="96" t="e">
        <f t="shared" si="154"/>
        <v>#DIV/0!</v>
      </c>
    </row>
    <row r="266" spans="1:28" hidden="1" outlineLevel="1" x14ac:dyDescent="0.25">
      <c r="A266" s="18"/>
      <c r="B266" s="38">
        <f t="shared" ref="B266:B282" si="193">B265+1</f>
        <v>3</v>
      </c>
      <c r="C266" s="54">
        <f t="shared" si="185"/>
        <v>129.07916999999998</v>
      </c>
      <c r="D266" s="33">
        <f>C266*VLOOKUP($A$264,Ταρίφες!$A$6:$G$23,$K$6,FALSE)*(1+$F$3)^(B266-1)</f>
        <v>37303.88012999999</v>
      </c>
      <c r="E266" s="33">
        <f>C266*VLOOKUP($A$264,Ταρίφες!$A$6:$G$23,$K$7,FALSE)*(1+$F$3)^(B266-1)</f>
        <v>26461.229849999996</v>
      </c>
      <c r="F266" s="46">
        <f t="shared" si="181"/>
        <v>-2080.8000000000002</v>
      </c>
      <c r="G266" s="47">
        <f t="shared" si="182"/>
        <v>-832.31999999999994</v>
      </c>
      <c r="H266" s="47">
        <f t="shared" si="183"/>
        <v>-2913.12</v>
      </c>
      <c r="I266" s="46">
        <f t="shared" si="184"/>
        <v>-4681.8</v>
      </c>
      <c r="J266" s="47">
        <f t="shared" si="186"/>
        <v>-6034</v>
      </c>
      <c r="K266" s="47">
        <f t="shared" si="187"/>
        <v>-5398.0784337999976</v>
      </c>
      <c r="L266" s="47">
        <f t="shared" si="188"/>
        <v>-2578.989360999999</v>
      </c>
      <c r="M266" s="47">
        <f t="shared" si="189"/>
        <v>21397.761696199992</v>
      </c>
      <c r="N266" s="47">
        <f t="shared" si="190"/>
        <v>13374.200488999995</v>
      </c>
      <c r="O266" s="34"/>
      <c r="P266" s="36">
        <f t="shared" ref="P266:P285" si="194">-O266*0.4</f>
        <v>0</v>
      </c>
      <c r="Q266" s="35"/>
      <c r="R266" s="33"/>
      <c r="S266" s="43"/>
      <c r="T266" s="19"/>
      <c r="U266" s="27">
        <f t="shared" si="191"/>
        <v>21397.761696199992</v>
      </c>
      <c r="V266" s="28">
        <f t="shared" si="192"/>
        <v>13374.200488999995</v>
      </c>
      <c r="W266" s="43"/>
      <c r="X266" s="19"/>
      <c r="Y266" s="42">
        <f t="shared" si="151"/>
        <v>0</v>
      </c>
      <c r="Z266" s="94">
        <f t="shared" si="152"/>
        <v>0</v>
      </c>
      <c r="AA266" s="96" t="e">
        <f t="shared" si="153"/>
        <v>#DIV/0!</v>
      </c>
      <c r="AB266" s="96" t="e">
        <f t="shared" si="154"/>
        <v>#DIV/0!</v>
      </c>
    </row>
    <row r="267" spans="1:28" hidden="1" outlineLevel="1" x14ac:dyDescent="0.25">
      <c r="A267" s="18"/>
      <c r="B267" s="38">
        <f t="shared" si="193"/>
        <v>4</v>
      </c>
      <c r="C267" s="54">
        <f t="shared" si="185"/>
        <v>127.78837829999998</v>
      </c>
      <c r="D267" s="33">
        <f>C267*VLOOKUP($A$264,Ταρίφες!$A$6:$G$23,$K$6,FALSE)*(1+$F$3)^(B267-1)</f>
        <v>36930.841328699993</v>
      </c>
      <c r="E267" s="33">
        <f>C267*VLOOKUP($A$264,Ταρίφες!$A$6:$G$23,$K$7,FALSE)*(1+$F$3)^(B267-1)</f>
        <v>26196.617551499996</v>
      </c>
      <c r="F267" s="46">
        <f t="shared" si="181"/>
        <v>-2122.4159999999997</v>
      </c>
      <c r="G267" s="47">
        <f t="shared" si="182"/>
        <v>-848.96639999999991</v>
      </c>
      <c r="H267" s="47">
        <f t="shared" si="183"/>
        <v>-2971.3824</v>
      </c>
      <c r="I267" s="46">
        <f t="shared" si="184"/>
        <v>-4775.4359999999997</v>
      </c>
      <c r="J267" s="47">
        <f t="shared" si="186"/>
        <v>-6034</v>
      </c>
      <c r="K267" s="47">
        <f t="shared" si="187"/>
        <v>-5246.4465374619986</v>
      </c>
      <c r="L267" s="47">
        <f t="shared" si="188"/>
        <v>-2455.5483553899994</v>
      </c>
      <c r="M267" s="47">
        <f t="shared" si="189"/>
        <v>20966.193991237997</v>
      </c>
      <c r="N267" s="47">
        <f t="shared" si="190"/>
        <v>13022.868396109998</v>
      </c>
      <c r="O267" s="34"/>
      <c r="P267" s="36">
        <f t="shared" si="194"/>
        <v>0</v>
      </c>
      <c r="Q267" s="35"/>
      <c r="R267" s="33"/>
      <c r="S267" s="43"/>
      <c r="T267" s="19"/>
      <c r="U267" s="27">
        <f t="shared" si="191"/>
        <v>20966.193991237997</v>
      </c>
      <c r="V267" s="28">
        <f t="shared" si="192"/>
        <v>13022.868396109998</v>
      </c>
      <c r="W267" s="43"/>
      <c r="X267" s="19"/>
      <c r="Y267" s="42">
        <f t="shared" si="151"/>
        <v>0</v>
      </c>
      <c r="Z267" s="94">
        <f t="shared" si="152"/>
        <v>0</v>
      </c>
      <c r="AA267" s="96" t="e">
        <f t="shared" si="153"/>
        <v>#DIV/0!</v>
      </c>
      <c r="AB267" s="96" t="e">
        <f t="shared" si="154"/>
        <v>#DIV/0!</v>
      </c>
    </row>
    <row r="268" spans="1:28" hidden="1" outlineLevel="1" x14ac:dyDescent="0.25">
      <c r="A268" s="18"/>
      <c r="B268" s="38">
        <f t="shared" si="193"/>
        <v>5</v>
      </c>
      <c r="C268" s="54">
        <f t="shared" si="185"/>
        <v>126.51049451699997</v>
      </c>
      <c r="D268" s="33">
        <f>C268*VLOOKUP($A$264,Ταρίφες!$A$6:$G$23,$K$6,FALSE)*(1+$F$3)^(B268-1)</f>
        <v>36561.532915412994</v>
      </c>
      <c r="E268" s="33">
        <f>C268*VLOOKUP($A$264,Ταρίφες!$A$6:$G$23,$K$7,FALSE)*(1+$F$3)^(B268-1)</f>
        <v>25934.651375984995</v>
      </c>
      <c r="F268" s="46">
        <f t="shared" si="181"/>
        <v>-2164.8643200000001</v>
      </c>
      <c r="G268" s="47">
        <f t="shared" si="182"/>
        <v>-865.94572800000003</v>
      </c>
      <c r="H268" s="47">
        <f t="shared" si="183"/>
        <v>-3030.8100479999998</v>
      </c>
      <c r="I268" s="46">
        <f t="shared" si="184"/>
        <v>-4870.9447199999995</v>
      </c>
      <c r="J268" s="47">
        <f t="shared" si="186"/>
        <v>-6034</v>
      </c>
      <c r="K268" s="47">
        <f t="shared" si="187"/>
        <v>-5094.6917058473791</v>
      </c>
      <c r="L268" s="47">
        <f t="shared" si="188"/>
        <v>-2331.7025055960994</v>
      </c>
      <c r="M268" s="47">
        <f t="shared" si="189"/>
        <v>20534.276393565618</v>
      </c>
      <c r="N268" s="47">
        <f t="shared" si="190"/>
        <v>12670.384054388895</v>
      </c>
      <c r="O268" s="34"/>
      <c r="P268" s="36">
        <f t="shared" si="194"/>
        <v>0</v>
      </c>
      <c r="Q268" s="35"/>
      <c r="R268" s="33"/>
      <c r="S268" s="43"/>
      <c r="T268" s="19"/>
      <c r="U268" s="27">
        <f t="shared" si="191"/>
        <v>20534.276393565618</v>
      </c>
      <c r="V268" s="28">
        <f t="shared" si="192"/>
        <v>12670.384054388895</v>
      </c>
      <c r="W268" s="43"/>
      <c r="X268" s="19"/>
      <c r="Y268" s="42">
        <f t="shared" si="151"/>
        <v>0</v>
      </c>
      <c r="Z268" s="94">
        <f t="shared" si="152"/>
        <v>0</v>
      </c>
      <c r="AA268" s="96" t="e">
        <f t="shared" si="153"/>
        <v>#DIV/0!</v>
      </c>
      <c r="AB268" s="96" t="e">
        <f t="shared" si="154"/>
        <v>#DIV/0!</v>
      </c>
    </row>
    <row r="269" spans="1:28" hidden="1" outlineLevel="1" x14ac:dyDescent="0.25">
      <c r="A269" s="18"/>
      <c r="B269" s="38">
        <f t="shared" si="193"/>
        <v>6</v>
      </c>
      <c r="C269" s="54">
        <f t="shared" si="185"/>
        <v>125.24538957182997</v>
      </c>
      <c r="D269" s="33">
        <f>C269*VLOOKUP($A$264,Ταρίφες!$A$6:$G$23,$K$6,FALSE)*(1+$F$3)^(B269-1)</f>
        <v>36195.91758625886</v>
      </c>
      <c r="E269" s="33">
        <f>C269*VLOOKUP($A$264,Ταρίφες!$A$6:$G$23,$K$7,FALSE)*(1+$F$3)^(B269-1)</f>
        <v>25675.304862225144</v>
      </c>
      <c r="F269" s="46">
        <f t="shared" si="181"/>
        <v>-2208.1616064</v>
      </c>
      <c r="G269" s="47">
        <f t="shared" si="182"/>
        <v>-883.26464255999997</v>
      </c>
      <c r="H269" s="47">
        <f t="shared" si="183"/>
        <v>-3091.4262489600001</v>
      </c>
      <c r="I269" s="46">
        <f t="shared" si="184"/>
        <v>-4968.3636144000002</v>
      </c>
      <c r="J269" s="47">
        <f t="shared" si="186"/>
        <v>-6034</v>
      </c>
      <c r="K269" s="47">
        <f t="shared" si="187"/>
        <v>-4942.7823832241038</v>
      </c>
      <c r="L269" s="47">
        <f t="shared" si="188"/>
        <v>-2207.4230749753378</v>
      </c>
      <c r="M269" s="47">
        <f t="shared" si="189"/>
        <v>20101.919090714757</v>
      </c>
      <c r="N269" s="47">
        <f t="shared" si="190"/>
        <v>12316.665674929805</v>
      </c>
      <c r="O269" s="34"/>
      <c r="P269" s="36">
        <f t="shared" si="194"/>
        <v>0</v>
      </c>
      <c r="Q269" s="35"/>
      <c r="R269" s="33"/>
      <c r="S269" s="43"/>
      <c r="T269" s="19"/>
      <c r="U269" s="27">
        <f t="shared" si="191"/>
        <v>20101.919090714757</v>
      </c>
      <c r="V269" s="28">
        <f t="shared" si="192"/>
        <v>12316.665674929805</v>
      </c>
      <c r="W269" s="43"/>
      <c r="X269" s="19"/>
      <c r="Y269" s="42">
        <f t="shared" ref="Y269:Y285" si="195">S269-W269</f>
        <v>0</v>
      </c>
      <c r="Z269" s="94">
        <f t="shared" ref="Z269:Z285" si="196">T269-X269</f>
        <v>0</v>
      </c>
      <c r="AA269" s="96" t="e">
        <f t="shared" ref="AA269:AA305" si="197">(P269)/-O269</f>
        <v>#DIV/0!</v>
      </c>
      <c r="AB269" s="96" t="e">
        <f t="shared" ref="AB269:AB305" si="198">(P269+Q269)/-O269</f>
        <v>#DIV/0!</v>
      </c>
    </row>
    <row r="270" spans="1:28" hidden="1" outlineLevel="1" x14ac:dyDescent="0.25">
      <c r="A270" s="18"/>
      <c r="B270" s="38">
        <f t="shared" si="193"/>
        <v>7</v>
      </c>
      <c r="C270" s="54">
        <f t="shared" si="185"/>
        <v>123.99293567611167</v>
      </c>
      <c r="D270" s="33">
        <f>C270*VLOOKUP($A$264,Ταρίφες!$A$6:$G$23,$K$6,FALSE)*(1+$F$3)^(B270-1)</f>
        <v>35833.95841039627</v>
      </c>
      <c r="E270" s="33">
        <f>C270*VLOOKUP($A$264,Ταρίφες!$A$6:$G$23,$K$7,FALSE)*(1+$F$3)^(B270-1)</f>
        <v>25418.551813602891</v>
      </c>
      <c r="F270" s="46">
        <f t="shared" si="181"/>
        <v>-2252.3248385280003</v>
      </c>
      <c r="G270" s="47">
        <f t="shared" si="182"/>
        <v>-900.92993541120006</v>
      </c>
      <c r="H270" s="47">
        <f t="shared" si="183"/>
        <v>-3153.2547739392003</v>
      </c>
      <c r="I270" s="46">
        <f t="shared" si="184"/>
        <v>-5067.7308866880003</v>
      </c>
      <c r="J270" s="47">
        <f t="shared" si="186"/>
        <v>-6034</v>
      </c>
      <c r="K270" s="47">
        <f t="shared" si="187"/>
        <v>-4790.6866737157661</v>
      </c>
      <c r="L270" s="47">
        <f t="shared" si="188"/>
        <v>-2082.680958549488</v>
      </c>
      <c r="M270" s="47">
        <f t="shared" si="189"/>
        <v>19669.031302114105</v>
      </c>
      <c r="N270" s="47">
        <f t="shared" si="190"/>
        <v>11961.630420487003</v>
      </c>
      <c r="O270" s="34"/>
      <c r="P270" s="36">
        <f t="shared" si="194"/>
        <v>0</v>
      </c>
      <c r="Q270" s="35"/>
      <c r="R270" s="33"/>
      <c r="S270" s="43"/>
      <c r="T270" s="19"/>
      <c r="U270" s="27">
        <f t="shared" si="191"/>
        <v>19669.031302114105</v>
      </c>
      <c r="V270" s="28">
        <f t="shared" si="192"/>
        <v>11961.630420487003</v>
      </c>
      <c r="W270" s="43"/>
      <c r="X270" s="19"/>
      <c r="Y270" s="42">
        <f t="shared" si="195"/>
        <v>0</v>
      </c>
      <c r="Z270" s="94">
        <f t="shared" si="196"/>
        <v>0</v>
      </c>
      <c r="AA270" s="96" t="e">
        <f t="shared" si="197"/>
        <v>#DIV/0!</v>
      </c>
      <c r="AB270" s="96" t="e">
        <f t="shared" si="198"/>
        <v>#DIV/0!</v>
      </c>
    </row>
    <row r="271" spans="1:28" hidden="1" outlineLevel="1" x14ac:dyDescent="0.25">
      <c r="A271" s="18"/>
      <c r="B271" s="38">
        <f t="shared" si="193"/>
        <v>8</v>
      </c>
      <c r="C271" s="54">
        <f t="shared" si="185"/>
        <v>122.75300631935055</v>
      </c>
      <c r="D271" s="33">
        <f>C271*VLOOKUP($A$264,Ταρίφες!$A$6:$G$23,$K$6,FALSE)*(1+$F$3)^(B271-1)</f>
        <v>35475.61882629231</v>
      </c>
      <c r="E271" s="33">
        <f>C271*VLOOKUP($A$264,Ταρίφες!$A$6:$G$23,$K$7,FALSE)*(1+$F$3)^(B271-1)</f>
        <v>25164.366295466862</v>
      </c>
      <c r="F271" s="46">
        <f t="shared" si="181"/>
        <v>-2297.3713352985596</v>
      </c>
      <c r="G271" s="47">
        <f t="shared" si="182"/>
        <v>-918.94853411942381</v>
      </c>
      <c r="H271" s="47">
        <f t="shared" si="183"/>
        <v>-3216.3198694179837</v>
      </c>
      <c r="I271" s="46">
        <f t="shared" si="184"/>
        <v>-5169.0855044217587</v>
      </c>
      <c r="J271" s="47">
        <f t="shared" si="186"/>
        <v>-6034</v>
      </c>
      <c r="K271" s="47">
        <f t="shared" si="187"/>
        <v>-4638.372331588992</v>
      </c>
      <c r="L271" s="47">
        <f t="shared" si="188"/>
        <v>-1957.4466735743754</v>
      </c>
      <c r="M271" s="47">
        <f t="shared" si="189"/>
        <v>19235.521251445592</v>
      </c>
      <c r="N271" s="47">
        <f t="shared" si="190"/>
        <v>11605.19437863476</v>
      </c>
      <c r="O271" s="34"/>
      <c r="P271" s="36">
        <f t="shared" si="194"/>
        <v>0</v>
      </c>
      <c r="Q271" s="35"/>
      <c r="R271" s="33"/>
      <c r="S271" s="43"/>
      <c r="T271" s="19"/>
      <c r="U271" s="27">
        <f t="shared" si="191"/>
        <v>19235.521251445592</v>
      </c>
      <c r="V271" s="28">
        <f t="shared" si="192"/>
        <v>11605.19437863476</v>
      </c>
      <c r="W271" s="43"/>
      <c r="X271" s="19"/>
      <c r="Y271" s="42">
        <f t="shared" si="195"/>
        <v>0</v>
      </c>
      <c r="Z271" s="94">
        <f t="shared" si="196"/>
        <v>0</v>
      </c>
      <c r="AA271" s="96" t="e">
        <f t="shared" si="197"/>
        <v>#DIV/0!</v>
      </c>
      <c r="AB271" s="96" t="e">
        <f t="shared" si="198"/>
        <v>#DIV/0!</v>
      </c>
    </row>
    <row r="272" spans="1:28" hidden="1" outlineLevel="1" x14ac:dyDescent="0.25">
      <c r="A272" s="18"/>
      <c r="B272" s="38">
        <f t="shared" si="193"/>
        <v>9</v>
      </c>
      <c r="C272" s="54">
        <f t="shared" si="185"/>
        <v>121.52547625615703</v>
      </c>
      <c r="D272" s="33">
        <f>C272*VLOOKUP($A$264,Ταρίφες!$A$6:$G$23,$K$6,FALSE)*(1+$F$3)^(B272-1)</f>
        <v>35120.862638029386</v>
      </c>
      <c r="E272" s="33">
        <f>C272*VLOOKUP($A$264,Ταρίφες!$A$6:$G$23,$K$7,FALSE)*(1+$F$3)^(B272-1)</f>
        <v>24912.722632512192</v>
      </c>
      <c r="F272" s="46">
        <f t="shared" si="181"/>
        <v>-2343.318762004531</v>
      </c>
      <c r="G272" s="47">
        <f t="shared" si="182"/>
        <v>-937.32750480181244</v>
      </c>
      <c r="H272" s="47">
        <f t="shared" si="183"/>
        <v>-3280.6462668063436</v>
      </c>
      <c r="I272" s="46">
        <f t="shared" si="184"/>
        <v>-5272.4672145101949</v>
      </c>
      <c r="J272" s="47">
        <f t="shared" si="186"/>
        <v>-6034</v>
      </c>
      <c r="K272" s="47">
        <f t="shared" si="187"/>
        <v>-4485.8067513756914</v>
      </c>
      <c r="L272" s="47">
        <f t="shared" si="188"/>
        <v>-1831.690349941221</v>
      </c>
      <c r="M272" s="47">
        <f t="shared" si="189"/>
        <v>18801.296138530815</v>
      </c>
      <c r="N272" s="47">
        <f t="shared" si="190"/>
        <v>11247.27253444809</v>
      </c>
      <c r="O272" s="34"/>
      <c r="P272" s="36">
        <f t="shared" si="194"/>
        <v>0</v>
      </c>
      <c r="Q272" s="35"/>
      <c r="R272" s="33"/>
      <c r="S272" s="43"/>
      <c r="T272" s="19"/>
      <c r="U272" s="27">
        <f t="shared" si="191"/>
        <v>18801.296138530815</v>
      </c>
      <c r="V272" s="28">
        <f t="shared" si="192"/>
        <v>11247.27253444809</v>
      </c>
      <c r="W272" s="43"/>
      <c r="X272" s="19"/>
      <c r="Y272" s="42">
        <f t="shared" si="195"/>
        <v>0</v>
      </c>
      <c r="Z272" s="94">
        <f t="shared" si="196"/>
        <v>0</v>
      </c>
      <c r="AA272" s="96" t="e">
        <f t="shared" si="197"/>
        <v>#DIV/0!</v>
      </c>
      <c r="AB272" s="96" t="e">
        <f t="shared" si="198"/>
        <v>#DIV/0!</v>
      </c>
    </row>
    <row r="273" spans="1:28" hidden="1" outlineLevel="1" x14ac:dyDescent="0.25">
      <c r="A273" s="18"/>
      <c r="B273" s="38">
        <f t="shared" si="193"/>
        <v>10</v>
      </c>
      <c r="C273" s="54">
        <f t="shared" si="185"/>
        <v>120.31022149359546</v>
      </c>
      <c r="D273" s="33">
        <f>C273*VLOOKUP($A$264,Ταρίφες!$A$6:$G$23,$K$6,FALSE)*(1+$F$3)^(B273-1)</f>
        <v>34769.654011649087</v>
      </c>
      <c r="E273" s="33">
        <f>C273*VLOOKUP($A$264,Ταρίφες!$A$6:$G$23,$K$7,FALSE)*(1+$F$3)^(B273-1)</f>
        <v>24663.595406187069</v>
      </c>
      <c r="F273" s="46">
        <f t="shared" si="181"/>
        <v>-2390.1851372446217</v>
      </c>
      <c r="G273" s="47">
        <f t="shared" si="182"/>
        <v>-956.07405489784867</v>
      </c>
      <c r="H273" s="47">
        <f t="shared" si="183"/>
        <v>-3346.2591921424705</v>
      </c>
      <c r="I273" s="46">
        <f t="shared" si="184"/>
        <v>-5377.9165588003989</v>
      </c>
      <c r="J273" s="47">
        <f t="shared" si="186"/>
        <v>-6034</v>
      </c>
      <c r="K273" s="47">
        <f t="shared" si="187"/>
        <v>-4332.9569578265746</v>
      </c>
      <c r="L273" s="47">
        <f t="shared" si="188"/>
        <v>-1705.3817204064496</v>
      </c>
      <c r="M273" s="47">
        <f t="shared" si="189"/>
        <v>18366.262110737174</v>
      </c>
      <c r="N273" s="47">
        <f t="shared" si="190"/>
        <v>10887.77874269528</v>
      </c>
      <c r="O273" s="34"/>
      <c r="P273" s="36">
        <f t="shared" si="194"/>
        <v>0</v>
      </c>
      <c r="Q273" s="35"/>
      <c r="R273" s="33"/>
      <c r="S273" s="43"/>
      <c r="T273" s="19"/>
      <c r="U273" s="27">
        <f t="shared" si="191"/>
        <v>18366.262110737174</v>
      </c>
      <c r="V273" s="28">
        <f t="shared" si="192"/>
        <v>10887.77874269528</v>
      </c>
      <c r="W273" s="43"/>
      <c r="X273" s="19"/>
      <c r="Y273" s="42">
        <f t="shared" si="195"/>
        <v>0</v>
      </c>
      <c r="Z273" s="94">
        <f t="shared" si="196"/>
        <v>0</v>
      </c>
      <c r="AA273" s="96" t="e">
        <f t="shared" si="197"/>
        <v>#DIV/0!</v>
      </c>
      <c r="AB273" s="96" t="e">
        <f t="shared" si="198"/>
        <v>#DIV/0!</v>
      </c>
    </row>
    <row r="274" spans="1:28" hidden="1" outlineLevel="1" x14ac:dyDescent="0.25">
      <c r="A274" s="18"/>
      <c r="B274" s="38">
        <f t="shared" si="193"/>
        <v>11</v>
      </c>
      <c r="C274" s="54">
        <f t="shared" si="185"/>
        <v>119.10711927865951</v>
      </c>
      <c r="D274" s="33">
        <f>C274*VLOOKUP($A$264,Ταρίφες!$A$6:$G$23,$K$6,FALSE)*(1+$F$3)^(B274-1)</f>
        <v>34421.957471532602</v>
      </c>
      <c r="E274" s="33">
        <f>C274*VLOOKUP($A$264,Ταρίφες!$A$6:$G$23,$K$7,FALSE)*(1+$F$3)^(B274-1)</f>
        <v>24416.9594521252</v>
      </c>
      <c r="F274" s="46">
        <f t="shared" si="181"/>
        <v>-2437.9888399895144</v>
      </c>
      <c r="G274" s="47">
        <f t="shared" si="182"/>
        <v>-975.1955359958057</v>
      </c>
      <c r="H274" s="47">
        <f t="shared" si="183"/>
        <v>-3413.18437598532</v>
      </c>
      <c r="I274" s="46">
        <f t="shared" si="184"/>
        <v>-5485.4748899764072</v>
      </c>
      <c r="J274" s="47">
        <f t="shared" si="186"/>
        <v>-6034</v>
      </c>
      <c r="K274" s="47">
        <f t="shared" si="187"/>
        <v>-4179.7895956922448</v>
      </c>
      <c r="L274" s="47">
        <f t="shared" si="188"/>
        <v>-1578.4901106463203</v>
      </c>
      <c r="M274" s="47">
        <f t="shared" si="189"/>
        <v>17930.324233893312</v>
      </c>
      <c r="N274" s="47">
        <f t="shared" si="190"/>
        <v>10526.625699531833</v>
      </c>
      <c r="O274" s="34"/>
      <c r="P274" s="36">
        <f t="shared" si="194"/>
        <v>0</v>
      </c>
      <c r="Q274" s="35"/>
      <c r="R274" s="33"/>
      <c r="S274" s="43"/>
      <c r="T274" s="19"/>
      <c r="U274" s="27">
        <f t="shared" si="191"/>
        <v>17930.324233893312</v>
      </c>
      <c r="V274" s="28">
        <f t="shared" si="192"/>
        <v>10526.625699531833</v>
      </c>
      <c r="W274" s="43"/>
      <c r="X274" s="19"/>
      <c r="Y274" s="42">
        <f t="shared" si="195"/>
        <v>0</v>
      </c>
      <c r="Z274" s="94">
        <f t="shared" si="196"/>
        <v>0</v>
      </c>
      <c r="AA274" s="96" t="e">
        <f t="shared" si="197"/>
        <v>#DIV/0!</v>
      </c>
      <c r="AB274" s="96" t="e">
        <f t="shared" si="198"/>
        <v>#DIV/0!</v>
      </c>
    </row>
    <row r="275" spans="1:28" hidden="1" outlineLevel="1" x14ac:dyDescent="0.25">
      <c r="A275" s="18"/>
      <c r="B275" s="38">
        <f t="shared" si="193"/>
        <v>12</v>
      </c>
      <c r="C275" s="54">
        <f t="shared" si="185"/>
        <v>117.91604808587292</v>
      </c>
      <c r="D275" s="33">
        <f>C275*VLOOKUP($A$264,Ταρίφες!$A$6:$G$23,$K$6,FALSE)*(1+$F$3)^(B275-1)</f>
        <v>34077.737896817271</v>
      </c>
      <c r="E275" s="33">
        <f>C275*VLOOKUP($A$264,Ταρίφες!$A$6:$G$23,$K$7,FALSE)*(1+$F$3)^(B275-1)</f>
        <v>24172.789857603948</v>
      </c>
      <c r="F275" s="46">
        <f t="shared" si="181"/>
        <v>-2486.7486167893039</v>
      </c>
      <c r="G275" s="47">
        <f t="shared" si="182"/>
        <v>-994.69944671572159</v>
      </c>
      <c r="H275" s="47">
        <f t="shared" si="183"/>
        <v>-3481.4480635050259</v>
      </c>
      <c r="I275" s="46">
        <f t="shared" si="184"/>
        <v>-5595.1843877759338</v>
      </c>
      <c r="J275" s="47">
        <f t="shared" si="186"/>
        <v>-6034</v>
      </c>
      <c r="K275" s="47">
        <f t="shared" si="187"/>
        <v>-4026.2709193281339</v>
      </c>
      <c r="L275" s="47">
        <f t="shared" si="188"/>
        <v>-1450.9844291326701</v>
      </c>
      <c r="M275" s="47">
        <f t="shared" si="189"/>
        <v>17493.386462703151</v>
      </c>
      <c r="N275" s="47">
        <f t="shared" si="190"/>
        <v>10163.724913685292</v>
      </c>
      <c r="O275" s="34"/>
      <c r="P275" s="36">
        <f t="shared" si="194"/>
        <v>0</v>
      </c>
      <c r="Q275" s="35"/>
      <c r="R275" s="33"/>
      <c r="S275" s="43"/>
      <c r="T275" s="19"/>
      <c r="U275" s="27">
        <f t="shared" si="191"/>
        <v>17493.386462703151</v>
      </c>
      <c r="V275" s="28">
        <f t="shared" si="192"/>
        <v>10163.724913685292</v>
      </c>
      <c r="W275" s="43"/>
      <c r="X275" s="19"/>
      <c r="Y275" s="42">
        <f t="shared" si="195"/>
        <v>0</v>
      </c>
      <c r="Z275" s="94">
        <f t="shared" si="196"/>
        <v>0</v>
      </c>
      <c r="AA275" s="96" t="e">
        <f t="shared" si="197"/>
        <v>#DIV/0!</v>
      </c>
      <c r="AB275" s="96" t="e">
        <f t="shared" si="198"/>
        <v>#DIV/0!</v>
      </c>
    </row>
    <row r="276" spans="1:28" hidden="1" outlineLevel="1" x14ac:dyDescent="0.25">
      <c r="A276" s="18"/>
      <c r="B276" s="38">
        <f t="shared" si="193"/>
        <v>13</v>
      </c>
      <c r="C276" s="54">
        <f t="shared" si="185"/>
        <v>116.73688760501419</v>
      </c>
      <c r="D276" s="33">
        <f>C276*VLOOKUP($A$264,Ταρίφες!$A$6:$G$23,$K$6,FALSE)*(1+$F$3)^(B276-1)</f>
        <v>33736.960517849104</v>
      </c>
      <c r="E276" s="33">
        <f>C276*VLOOKUP($A$264,Ταρίφες!$A$6:$G$23,$K$7,FALSE)*(1+$F$3)^(B276-1)</f>
        <v>23931.061959027909</v>
      </c>
      <c r="F276" s="46">
        <f t="shared" si="181"/>
        <v>-2536.4835891250905</v>
      </c>
      <c r="G276" s="47">
        <f t="shared" si="182"/>
        <v>-1014.5934356500362</v>
      </c>
      <c r="H276" s="47">
        <f t="shared" si="183"/>
        <v>-3551.0770247751266</v>
      </c>
      <c r="I276" s="46">
        <f t="shared" si="184"/>
        <v>-5707.0880755314538</v>
      </c>
      <c r="J276" s="47">
        <f t="shared" si="186"/>
        <v>-6034</v>
      </c>
      <c r="K276" s="47">
        <f t="shared" si="187"/>
        <v>-3872.3667821195236</v>
      </c>
      <c r="L276" s="47">
        <f t="shared" si="188"/>
        <v>-1322.833156826013</v>
      </c>
      <c r="M276" s="47">
        <f t="shared" si="189"/>
        <v>17055.351610647875</v>
      </c>
      <c r="N276" s="47">
        <f t="shared" si="190"/>
        <v>9798.9866771201905</v>
      </c>
      <c r="O276" s="34"/>
      <c r="P276" s="36">
        <f t="shared" si="194"/>
        <v>0</v>
      </c>
      <c r="Q276" s="35"/>
      <c r="R276" s="33"/>
      <c r="S276" s="43"/>
      <c r="T276" s="19"/>
      <c r="U276" s="27">
        <f t="shared" si="191"/>
        <v>17055.351610647875</v>
      </c>
      <c r="V276" s="28">
        <f t="shared" si="192"/>
        <v>9798.9866771201905</v>
      </c>
      <c r="W276" s="43"/>
      <c r="X276" s="19"/>
      <c r="Y276" s="42">
        <f t="shared" si="195"/>
        <v>0</v>
      </c>
      <c r="Z276" s="94">
        <f t="shared" si="196"/>
        <v>0</v>
      </c>
      <c r="AA276" s="96" t="e">
        <f t="shared" si="197"/>
        <v>#DIV/0!</v>
      </c>
      <c r="AB276" s="96" t="e">
        <f t="shared" si="198"/>
        <v>#DIV/0!</v>
      </c>
    </row>
    <row r="277" spans="1:28" hidden="1" outlineLevel="1" x14ac:dyDescent="0.25">
      <c r="A277" s="18"/>
      <c r="B277" s="38">
        <f t="shared" si="193"/>
        <v>14</v>
      </c>
      <c r="C277" s="54">
        <f t="shared" si="185"/>
        <v>115.56951872896404</v>
      </c>
      <c r="D277" s="33">
        <f>C277*VLOOKUP($A$264,Ταρίφες!$A$6:$G$23,$K$6,FALSE)*(1+$F$3)^(B277-1)</f>
        <v>33399.59091267061</v>
      </c>
      <c r="E277" s="33">
        <f>C277*VLOOKUP($A$264,Ταρίφες!$A$6:$G$23,$K$7,FALSE)*(1+$F$3)^(B277-1)</f>
        <v>23691.751339437629</v>
      </c>
      <c r="F277" s="46">
        <f t="shared" si="181"/>
        <v>-2587.213260907592</v>
      </c>
      <c r="G277" s="47">
        <f t="shared" si="182"/>
        <v>-1034.8853043630368</v>
      </c>
      <c r="H277" s="47">
        <f t="shared" si="183"/>
        <v>-3622.098565270629</v>
      </c>
      <c r="I277" s="46">
        <f t="shared" si="184"/>
        <v>-5821.2298370420822</v>
      </c>
      <c r="J277" s="47">
        <f t="shared" si="186"/>
        <v>-6034</v>
      </c>
      <c r="K277" s="47">
        <f t="shared" si="187"/>
        <v>-3718.0426257226909</v>
      </c>
      <c r="L277" s="47">
        <f t="shared" si="188"/>
        <v>-1194.0043366821155</v>
      </c>
      <c r="M277" s="47">
        <f t="shared" si="189"/>
        <v>16616.121319364582</v>
      </c>
      <c r="N277" s="47">
        <f t="shared" si="190"/>
        <v>9432.3200351721753</v>
      </c>
      <c r="O277" s="34"/>
      <c r="P277" s="36">
        <f t="shared" si="194"/>
        <v>0</v>
      </c>
      <c r="Q277" s="35"/>
      <c r="R277" s="33"/>
      <c r="S277" s="43"/>
      <c r="T277" s="19"/>
      <c r="U277" s="27">
        <f t="shared" si="191"/>
        <v>16616.121319364582</v>
      </c>
      <c r="V277" s="28">
        <f t="shared" si="192"/>
        <v>9432.3200351721753</v>
      </c>
      <c r="W277" s="43"/>
      <c r="X277" s="19"/>
      <c r="Y277" s="42">
        <f t="shared" si="195"/>
        <v>0</v>
      </c>
      <c r="Z277" s="94">
        <f t="shared" si="196"/>
        <v>0</v>
      </c>
      <c r="AA277" s="96" t="e">
        <f t="shared" si="197"/>
        <v>#DIV/0!</v>
      </c>
      <c r="AB277" s="96" t="e">
        <f t="shared" si="198"/>
        <v>#DIV/0!</v>
      </c>
    </row>
    <row r="278" spans="1:28" hidden="1" outlineLevel="1" x14ac:dyDescent="0.25">
      <c r="A278" s="18"/>
      <c r="B278" s="38">
        <f t="shared" si="193"/>
        <v>15</v>
      </c>
      <c r="C278" s="54">
        <f t="shared" si="185"/>
        <v>114.4138235416744</v>
      </c>
      <c r="D278" s="33">
        <f>C278*VLOOKUP($A$264,Ταρίφες!$A$6:$G$23,$K$6,FALSE)*(1+$F$3)^(B278-1)</f>
        <v>33065.595003543902</v>
      </c>
      <c r="E278" s="33">
        <f>C278*VLOOKUP($A$264,Ταρίφες!$A$6:$G$23,$K$7,FALSE)*(1+$F$3)^(B278-1)</f>
        <v>23454.833826043254</v>
      </c>
      <c r="F278" s="46">
        <f t="shared" si="181"/>
        <v>-2638.9575261257442</v>
      </c>
      <c r="G278" s="47">
        <f t="shared" si="182"/>
        <v>-1055.5830104502977</v>
      </c>
      <c r="H278" s="47">
        <f t="shared" si="183"/>
        <v>-3694.5405365760421</v>
      </c>
      <c r="I278" s="46">
        <f t="shared" si="184"/>
        <v>-5937.6544337829246</v>
      </c>
      <c r="J278" s="47">
        <f t="shared" si="186"/>
        <v>-6034</v>
      </c>
      <c r="K278" s="47">
        <f t="shared" si="187"/>
        <v>-3563.2634691183125</v>
      </c>
      <c r="L278" s="47">
        <f t="shared" si="188"/>
        <v>-1064.4655629681438</v>
      </c>
      <c r="M278" s="47">
        <f t="shared" si="189"/>
        <v>16175.596027490581</v>
      </c>
      <c r="N278" s="47">
        <f t="shared" si="190"/>
        <v>9063.6327561401013</v>
      </c>
      <c r="O278" s="34"/>
      <c r="P278" s="36">
        <f t="shared" si="194"/>
        <v>0</v>
      </c>
      <c r="Q278" s="35"/>
      <c r="R278" s="33"/>
      <c r="S278" s="43"/>
      <c r="T278" s="19"/>
      <c r="U278" s="27">
        <f t="shared" si="191"/>
        <v>16175.596027490581</v>
      </c>
      <c r="V278" s="28">
        <f t="shared" si="192"/>
        <v>9063.6327561401013</v>
      </c>
      <c r="W278" s="43"/>
      <c r="X278" s="19"/>
      <c r="Y278" s="42">
        <f t="shared" si="195"/>
        <v>0</v>
      </c>
      <c r="Z278" s="94">
        <f t="shared" si="196"/>
        <v>0</v>
      </c>
      <c r="AA278" s="96" t="e">
        <f t="shared" si="197"/>
        <v>#DIV/0!</v>
      </c>
      <c r="AB278" s="96" t="e">
        <f t="shared" si="198"/>
        <v>#DIV/0!</v>
      </c>
    </row>
    <row r="279" spans="1:28" hidden="1" outlineLevel="1" x14ac:dyDescent="0.25">
      <c r="A279" s="18"/>
      <c r="B279" s="38">
        <f t="shared" si="193"/>
        <v>16</v>
      </c>
      <c r="C279" s="54">
        <f t="shared" si="185"/>
        <v>113.26968530625766</v>
      </c>
      <c r="D279" s="33">
        <f>C279*VLOOKUP($A$264,Ταρίφες!$A$6:$G$23,$K$6,FALSE)*(1+$F$3)^(B279-1)</f>
        <v>32734.939053508464</v>
      </c>
      <c r="E279" s="33">
        <f>C279*VLOOKUP($A$264,Ταρίφες!$A$6:$G$23,$K$7,FALSE)*(1+$F$3)^(B279-1)</f>
        <v>23220.285487782821</v>
      </c>
      <c r="F279" s="46">
        <f t="shared" si="181"/>
        <v>-2691.7366766482583</v>
      </c>
      <c r="G279" s="47">
        <f t="shared" si="182"/>
        <v>-1076.6946706593035</v>
      </c>
      <c r="H279" s="47">
        <f t="shared" si="183"/>
        <v>-3768.4313473075617</v>
      </c>
      <c r="I279" s="46">
        <f t="shared" si="184"/>
        <v>-6056.4075224585813</v>
      </c>
      <c r="J279" s="47">
        <f t="shared" si="186"/>
        <v>-6034</v>
      </c>
      <c r="K279" s="47">
        <f t="shared" si="187"/>
        <v>-3407.993897473038</v>
      </c>
      <c r="L279" s="47">
        <f t="shared" si="188"/>
        <v>-934.18397038437081</v>
      </c>
      <c r="M279" s="47">
        <f t="shared" si="189"/>
        <v>15733.67493896172</v>
      </c>
      <c r="N279" s="47">
        <f t="shared" si="190"/>
        <v>8692.8313003247458</v>
      </c>
      <c r="O279" s="34"/>
      <c r="P279" s="36">
        <f t="shared" si="194"/>
        <v>0</v>
      </c>
      <c r="Q279" s="35"/>
      <c r="R279" s="33"/>
      <c r="S279" s="43"/>
      <c r="T279" s="19"/>
      <c r="U279" s="27">
        <f t="shared" si="191"/>
        <v>15733.67493896172</v>
      </c>
      <c r="V279" s="28">
        <f t="shared" si="192"/>
        <v>8692.8313003247458</v>
      </c>
      <c r="W279" s="43"/>
      <c r="X279" s="19"/>
      <c r="Y279" s="42">
        <f t="shared" si="195"/>
        <v>0</v>
      </c>
      <c r="Z279" s="94">
        <f t="shared" si="196"/>
        <v>0</v>
      </c>
      <c r="AA279" s="96" t="e">
        <f t="shared" si="197"/>
        <v>#DIV/0!</v>
      </c>
      <c r="AB279" s="96" t="e">
        <f t="shared" si="198"/>
        <v>#DIV/0!</v>
      </c>
    </row>
    <row r="280" spans="1:28" hidden="1" outlineLevel="1" x14ac:dyDescent="0.25">
      <c r="A280" s="18"/>
      <c r="B280" s="38">
        <f t="shared" si="193"/>
        <v>17</v>
      </c>
      <c r="C280" s="54">
        <f t="shared" si="185"/>
        <v>112.13698845319507</v>
      </c>
      <c r="D280" s="33">
        <f>C280*VLOOKUP($A$264,Ταρίφες!$A$6:$G$23,$K$6,FALSE)*(1+$F$3)^(B280-1)</f>
        <v>32407.589662973376</v>
      </c>
      <c r="E280" s="33">
        <f>C280*VLOOKUP($A$264,Ταρίφες!$A$6:$G$23,$K$7,FALSE)*(1+$F$3)^(B280-1)</f>
        <v>22988.082632904989</v>
      </c>
      <c r="F280" s="46">
        <f t="shared" si="181"/>
        <v>-2745.5714101812241</v>
      </c>
      <c r="G280" s="47">
        <f t="shared" si="182"/>
        <v>-1098.2285640724897</v>
      </c>
      <c r="H280" s="47">
        <f t="shared" si="183"/>
        <v>-3843.7999742537136</v>
      </c>
      <c r="I280" s="46">
        <f t="shared" si="184"/>
        <v>-6177.5356729077539</v>
      </c>
      <c r="J280" s="47">
        <f t="shared" si="186"/>
        <v>-6034</v>
      </c>
      <c r="K280" s="47">
        <f t="shared" si="187"/>
        <v>-3252.1980508051306</v>
      </c>
      <c r="L280" s="47">
        <f t="shared" si="188"/>
        <v>-803.12622298734982</v>
      </c>
      <c r="M280" s="47">
        <f t="shared" si="189"/>
        <v>15290.255990753063</v>
      </c>
      <c r="N280" s="47">
        <f t="shared" si="190"/>
        <v>8319.8207885024567</v>
      </c>
      <c r="O280" s="34"/>
      <c r="P280" s="36">
        <f t="shared" si="194"/>
        <v>0</v>
      </c>
      <c r="Q280" s="35"/>
      <c r="R280" s="33"/>
      <c r="S280" s="43"/>
      <c r="T280" s="19"/>
      <c r="U280" s="27">
        <f t="shared" si="191"/>
        <v>15290.255990753063</v>
      </c>
      <c r="V280" s="28">
        <f t="shared" si="192"/>
        <v>8319.8207885024567</v>
      </c>
      <c r="W280" s="43"/>
      <c r="X280" s="19"/>
      <c r="Y280" s="42">
        <f t="shared" si="195"/>
        <v>0</v>
      </c>
      <c r="Z280" s="94">
        <f t="shared" si="196"/>
        <v>0</v>
      </c>
      <c r="AA280" s="96" t="e">
        <f t="shared" si="197"/>
        <v>#DIV/0!</v>
      </c>
      <c r="AB280" s="96" t="e">
        <f t="shared" si="198"/>
        <v>#DIV/0!</v>
      </c>
    </row>
    <row r="281" spans="1:28" hidden="1" outlineLevel="1" x14ac:dyDescent="0.25">
      <c r="A281" s="18"/>
      <c r="B281" s="38">
        <f t="shared" si="193"/>
        <v>18</v>
      </c>
      <c r="C281" s="54">
        <f t="shared" si="185"/>
        <v>111.01561856866311</v>
      </c>
      <c r="D281" s="33">
        <f>C281*VLOOKUP($A$264,Ταρίφες!$A$6:$G$23,$K$6,FALSE)*(1+$F$3)^(B281-1)</f>
        <v>32083.51376634364</v>
      </c>
      <c r="E281" s="33">
        <f>C281*VLOOKUP($A$264,Ταρίφες!$A$6:$G$23,$K$7,FALSE)*(1+$F$3)^(B281-1)</f>
        <v>22758.20180657594</v>
      </c>
      <c r="F281" s="46">
        <f t="shared" si="181"/>
        <v>-2800.4828383848489</v>
      </c>
      <c r="G281" s="47">
        <f t="shared" si="182"/>
        <v>-1120.1931353539396</v>
      </c>
      <c r="H281" s="47">
        <f t="shared" si="183"/>
        <v>-3920.6759737387883</v>
      </c>
      <c r="I281" s="46">
        <f t="shared" si="184"/>
        <v>-6301.0863863659097</v>
      </c>
      <c r="J281" s="47">
        <f t="shared" si="186"/>
        <v>-6034</v>
      </c>
      <c r="K281" s="47">
        <f t="shared" si="187"/>
        <v>-3095.8396124500405</v>
      </c>
      <c r="L281" s="47">
        <f t="shared" si="188"/>
        <v>-671.25850291043832</v>
      </c>
      <c r="M281" s="47">
        <f t="shared" si="189"/>
        <v>14845.235820050115</v>
      </c>
      <c r="N281" s="47">
        <f t="shared" si="190"/>
        <v>7944.5049698220164</v>
      </c>
      <c r="O281" s="34"/>
      <c r="P281" s="36">
        <f t="shared" si="194"/>
        <v>0</v>
      </c>
      <c r="Q281" s="35"/>
      <c r="R281" s="33"/>
      <c r="S281" s="43"/>
      <c r="T281" s="19"/>
      <c r="U281" s="27">
        <f t="shared" si="191"/>
        <v>14845.235820050115</v>
      </c>
      <c r="V281" s="28">
        <f t="shared" si="192"/>
        <v>7944.5049698220164</v>
      </c>
      <c r="W281" s="43"/>
      <c r="X281" s="19"/>
      <c r="Y281" s="42">
        <f t="shared" si="195"/>
        <v>0</v>
      </c>
      <c r="Z281" s="94">
        <f t="shared" si="196"/>
        <v>0</v>
      </c>
      <c r="AA281" s="96" t="e">
        <f t="shared" si="197"/>
        <v>#DIV/0!</v>
      </c>
      <c r="AB281" s="96" t="e">
        <f t="shared" si="198"/>
        <v>#DIV/0!</v>
      </c>
    </row>
    <row r="282" spans="1:28" hidden="1" outlineLevel="1" x14ac:dyDescent="0.25">
      <c r="A282" s="18"/>
      <c r="B282" s="38">
        <f t="shared" si="193"/>
        <v>19</v>
      </c>
      <c r="C282" s="54">
        <f t="shared" si="185"/>
        <v>109.90546238297648</v>
      </c>
      <c r="D282" s="33">
        <f>C282*VLOOKUP($A$264,Ταρίφες!$A$6:$G$23,$K$6,FALSE)*(1+$F$3)^(B282-1)</f>
        <v>31762.678628680202</v>
      </c>
      <c r="E282" s="33">
        <f>C282*VLOOKUP($A$264,Ταρίφες!$A$6:$G$23,$K$7,FALSE)*(1+$F$3)^(B282-1)</f>
        <v>22530.619788510179</v>
      </c>
      <c r="F282" s="46">
        <f t="shared" si="181"/>
        <v>-2856.4924951525454</v>
      </c>
      <c r="G282" s="47">
        <f t="shared" si="182"/>
        <v>-1142.5969980610182</v>
      </c>
      <c r="H282" s="47">
        <f t="shared" si="183"/>
        <v>-3999.0894932135634</v>
      </c>
      <c r="I282" s="46">
        <f t="shared" si="184"/>
        <v>-6427.1081140932274</v>
      </c>
      <c r="J282" s="47">
        <f t="shared" si="186"/>
        <v>-6034</v>
      </c>
      <c r="K282" s="47">
        <f t="shared" si="187"/>
        <v>-2938.88179732156</v>
      </c>
      <c r="L282" s="47">
        <f t="shared" si="188"/>
        <v>-538.546498877354</v>
      </c>
      <c r="M282" s="47">
        <f t="shared" si="189"/>
        <v>14398.509730838286</v>
      </c>
      <c r="N282" s="47">
        <f t="shared" si="190"/>
        <v>7566.7861891124712</v>
      </c>
      <c r="O282" s="34"/>
      <c r="P282" s="36">
        <f t="shared" si="194"/>
        <v>0</v>
      </c>
      <c r="Q282" s="35"/>
      <c r="R282" s="33"/>
      <c r="S282" s="43"/>
      <c r="T282" s="19"/>
      <c r="U282" s="27">
        <f t="shared" si="191"/>
        <v>14398.509730838286</v>
      </c>
      <c r="V282" s="28">
        <f t="shared" si="192"/>
        <v>7566.7861891124712</v>
      </c>
      <c r="W282" s="43"/>
      <c r="X282" s="19"/>
      <c r="Y282" s="42">
        <f t="shared" si="195"/>
        <v>0</v>
      </c>
      <c r="Z282" s="94">
        <f t="shared" si="196"/>
        <v>0</v>
      </c>
      <c r="AA282" s="96" t="e">
        <f t="shared" si="197"/>
        <v>#DIV/0!</v>
      </c>
      <c r="AB282" s="96" t="e">
        <f t="shared" si="198"/>
        <v>#DIV/0!</v>
      </c>
    </row>
    <row r="283" spans="1:28" hidden="1" outlineLevel="1" x14ac:dyDescent="0.25">
      <c r="A283" s="18"/>
      <c r="B283" s="38">
        <f>B282+1</f>
        <v>20</v>
      </c>
      <c r="C283" s="54">
        <f>C282*(1-$F$2)</f>
        <v>108.80640775914671</v>
      </c>
      <c r="D283" s="33">
        <f>C283*VLOOKUP($A$264,Ταρίφες!$A$6:$G$23,$K$6,FALSE)*(1+$F$3)^(B283-1)</f>
        <v>31445.051842393397</v>
      </c>
      <c r="E283" s="33">
        <f>C283*VLOOKUP($A$264,Ταρίφες!$A$6:$G$23,$K$7,FALSE)*(1+$F$3)^(B283-1)</f>
        <v>22305.313590625075</v>
      </c>
      <c r="F283" s="46">
        <f t="shared" si="181"/>
        <v>-2913.6223450555963</v>
      </c>
      <c r="G283" s="47">
        <f t="shared" si="182"/>
        <v>-1165.4489380222385</v>
      </c>
      <c r="H283" s="47">
        <f>-$K$4*(1+$F$4)^(B283-$B$12)</f>
        <v>-4079.0712830778348</v>
      </c>
      <c r="I283" s="46">
        <f>-(4500*(1+$F$4)^(B283-$B$12))</f>
        <v>-6555.6502763750914</v>
      </c>
      <c r="J283" s="47">
        <f t="shared" si="186"/>
        <v>-6034</v>
      </c>
      <c r="K283" s="47">
        <f>-(D283+SUM(F283:J283))*$F$5</f>
        <v>-2781.2873399642854</v>
      </c>
      <c r="L283" s="47">
        <f>-(E283+SUM(F283:J283))*$F$5</f>
        <v>-404.95539450452156</v>
      </c>
      <c r="M283" s="47">
        <f>D283+SUM(F283:I283)+K283</f>
        <v>13949.97165989835</v>
      </c>
      <c r="N283" s="47">
        <f>E283+SUM(F283:I283)+L283</f>
        <v>7186.5653535897918</v>
      </c>
      <c r="O283" s="34"/>
      <c r="P283" s="36">
        <f t="shared" si="194"/>
        <v>0</v>
      </c>
      <c r="Q283" s="35"/>
      <c r="R283" s="33"/>
      <c r="S283" s="43"/>
      <c r="T283" s="19"/>
      <c r="U283" s="27">
        <f>M283</f>
        <v>13949.97165989835</v>
      </c>
      <c r="V283" s="28">
        <f>N283</f>
        <v>7186.5653535897918</v>
      </c>
      <c r="W283" s="43"/>
      <c r="X283" s="19"/>
      <c r="Y283" s="42">
        <f t="shared" si="195"/>
        <v>0</v>
      </c>
      <c r="Z283" s="94">
        <f t="shared" si="196"/>
        <v>0</v>
      </c>
      <c r="AA283" s="96" t="e">
        <f t="shared" si="197"/>
        <v>#DIV/0!</v>
      </c>
      <c r="AB283" s="96" t="e">
        <f t="shared" si="198"/>
        <v>#DIV/0!</v>
      </c>
    </row>
    <row r="284" spans="1:28" s="40" customFormat="1" hidden="1" outlineLevel="1" x14ac:dyDescent="0.25">
      <c r="O284" s="17"/>
      <c r="P284" s="36">
        <f t="shared" si="194"/>
        <v>0</v>
      </c>
      <c r="Q284" s="25"/>
      <c r="R284" s="22"/>
      <c r="S284" s="52"/>
      <c r="T284" s="44"/>
      <c r="U284" s="74">
        <f>O285</f>
        <v>-153250</v>
      </c>
      <c r="V284" s="74">
        <f>R285</f>
        <v>-106055.11863558783</v>
      </c>
      <c r="W284" s="52"/>
      <c r="X284" s="44"/>
      <c r="Y284" s="42">
        <f t="shared" si="195"/>
        <v>0</v>
      </c>
      <c r="Z284" s="94">
        <f t="shared" si="196"/>
        <v>0</v>
      </c>
      <c r="AA284" s="96" t="e">
        <f t="shared" si="197"/>
        <v>#DIV/0!</v>
      </c>
      <c r="AB284" s="96" t="e">
        <f t="shared" si="198"/>
        <v>#DIV/0!</v>
      </c>
    </row>
    <row r="285" spans="1:28" collapsed="1" x14ac:dyDescent="0.25">
      <c r="A285" s="32" t="str">
        <f>Ταρίφες!A23</f>
        <v>Β Τριμ. 2013</v>
      </c>
      <c r="B285" s="38">
        <f>1</f>
        <v>1</v>
      </c>
      <c r="C285" s="54">
        <f>$F$8*$K$2/1000</f>
        <v>131.69999999999999</v>
      </c>
      <c r="D285" s="33">
        <f>C285*VLOOKUP($A$285,Ταρίφες!$A$6:$G$23,$K$6,FALSE)*(1+$F$3)^(B285-1)</f>
        <v>35559</v>
      </c>
      <c r="E285" s="33">
        <f>C285*VLOOKUP($A$285,Ταρίφες!$A$6:$G$23,$K$7,FALSE)*(1+$F$3)^(B285-1)</f>
        <v>25681.499999999996</v>
      </c>
      <c r="F285" s="46">
        <f t="shared" ref="F285:F304" si="199">-($K$5*(1+$F$4)^(B285-$B$12))</f>
        <v>-2000</v>
      </c>
      <c r="G285" s="47">
        <f t="shared" ref="G285:G304" si="200">-$K$2*10*(1+$F$4)^(B285-$B$12)</f>
        <v>-800</v>
      </c>
      <c r="H285" s="47">
        <f t="shared" ref="H285:H303" si="201">-$K$4*(1+$F$4)^(B285-$B$12)</f>
        <v>-2800</v>
      </c>
      <c r="I285" s="46">
        <f t="shared" ref="I285:I303" si="202">-(4500*(1+$F$4)^(B285-$B$12))</f>
        <v>-4500</v>
      </c>
      <c r="J285" s="47">
        <f>$O$285*4%</f>
        <v>-6130</v>
      </c>
      <c r="K285" s="47">
        <f>-(D285+SUM(F285:J285))*$F$5</f>
        <v>-5025.54</v>
      </c>
      <c r="L285" s="47">
        <f>-(E285+SUM(F285:J285))*$F$5</f>
        <v>-2457.389999999999</v>
      </c>
      <c r="M285" s="47">
        <f>D285+SUM(F285:I285)+K285</f>
        <v>20433.46</v>
      </c>
      <c r="N285" s="47">
        <f>E285+SUM(F285:I285)+L285</f>
        <v>13124.109999999997</v>
      </c>
      <c r="O285" s="35">
        <f>-VLOOKUP(A285,'Κόστος Κατασκευής'!$A$4:$Q$17,$K$8,FALSE)</f>
        <v>-153250</v>
      </c>
      <c r="P285" s="36">
        <f t="shared" si="194"/>
        <v>61300</v>
      </c>
      <c r="Q285" s="36">
        <f>Q264*15/16</f>
        <v>-14105.118635587836</v>
      </c>
      <c r="R285" s="37">
        <f>SUM(O285:Q285)</f>
        <v>-106055.11863558783</v>
      </c>
      <c r="S285" s="42">
        <f>IRR(U284:U304)</f>
        <v>9.7542701115892694E-2</v>
      </c>
      <c r="T285" s="42">
        <f>IRR(V284:V304)</f>
        <v>7.8329788947717915E-2</v>
      </c>
      <c r="U285" s="27">
        <f>M285</f>
        <v>20433.46</v>
      </c>
      <c r="V285" s="28">
        <f>N285</f>
        <v>13124.109999999997</v>
      </c>
      <c r="W285" s="42">
        <f>'IRR ΔΣ Ισχύον'!S285</f>
        <v>0.16320404192389404</v>
      </c>
      <c r="X285" s="42">
        <f>'IRR ΔΣ Ισχύον'!T285</f>
        <v>0.14546687827811833</v>
      </c>
      <c r="Y285" s="42">
        <f t="shared" si="195"/>
        <v>-6.5661340808001345E-2</v>
      </c>
      <c r="Z285" s="94">
        <f t="shared" si="196"/>
        <v>-6.7137089330400412E-2</v>
      </c>
      <c r="AA285" s="96">
        <f t="shared" si="197"/>
        <v>0.4</v>
      </c>
      <c r="AB285" s="96">
        <f t="shared" si="198"/>
        <v>0.30796007415603366</v>
      </c>
    </row>
    <row r="286" spans="1:28" hidden="1" outlineLevel="1" x14ac:dyDescent="0.25">
      <c r="A286" s="18"/>
      <c r="B286" s="38">
        <f>B285+1</f>
        <v>2</v>
      </c>
      <c r="C286" s="54">
        <f t="shared" ref="C286:C303" si="203">C285*(1-$F$2)</f>
        <v>130.38299999999998</v>
      </c>
      <c r="D286" s="33">
        <f>C286*VLOOKUP($A$285,Ταρίφες!$A$6:$G$23,$K$6,FALSE)*(1+$F$3)^(B286-1)</f>
        <v>35203.409999999996</v>
      </c>
      <c r="E286" s="33">
        <f>C286*VLOOKUP($A$285,Ταρίφες!$A$6:$G$23,$K$7,FALSE)*(1+$F$3)^(B286-1)</f>
        <v>25424.684999999998</v>
      </c>
      <c r="F286" s="46">
        <f t="shared" si="199"/>
        <v>-2040</v>
      </c>
      <c r="G286" s="47">
        <f t="shared" si="200"/>
        <v>-816</v>
      </c>
      <c r="H286" s="47">
        <f t="shared" si="201"/>
        <v>-2856</v>
      </c>
      <c r="I286" s="46">
        <f t="shared" si="202"/>
        <v>-4590</v>
      </c>
      <c r="J286" s="47">
        <f t="shared" ref="J286:J304" si="204">$O$285*4%</f>
        <v>-6130</v>
      </c>
      <c r="K286" s="47">
        <f t="shared" ref="K286:K303" si="205">-(D286+SUM(F286:J286))*$F$5</f>
        <v>-4880.5665999999992</v>
      </c>
      <c r="L286" s="47">
        <f t="shared" ref="L286:L303" si="206">-(E286+SUM(F286:J286))*$F$5</f>
        <v>-2338.0980999999992</v>
      </c>
      <c r="M286" s="47">
        <f t="shared" ref="M286:M303" si="207">D286+SUM(F286:I286)+K286</f>
        <v>20020.843399999998</v>
      </c>
      <c r="N286" s="47">
        <f t="shared" ref="N286:N303" si="208">E286+SUM(F286:I286)+L286</f>
        <v>12784.586899999998</v>
      </c>
      <c r="O286" s="34"/>
      <c r="P286" s="35"/>
      <c r="Q286" s="35"/>
      <c r="R286" s="33"/>
      <c r="S286" s="43"/>
      <c r="T286" s="19"/>
      <c r="U286" s="27">
        <f t="shared" ref="U286:U303" si="209">M286</f>
        <v>20020.843399999998</v>
      </c>
      <c r="V286" s="28">
        <f t="shared" ref="V286:V303" si="210">N286</f>
        <v>12784.586899999998</v>
      </c>
      <c r="AA286" s="96" t="e">
        <f t="shared" si="197"/>
        <v>#DIV/0!</v>
      </c>
      <c r="AB286" s="96" t="e">
        <f t="shared" si="198"/>
        <v>#DIV/0!</v>
      </c>
    </row>
    <row r="287" spans="1:28" hidden="1" outlineLevel="1" x14ac:dyDescent="0.25">
      <c r="A287" s="18"/>
      <c r="B287" s="38">
        <f t="shared" ref="B287:B303" si="211">B286+1</f>
        <v>3</v>
      </c>
      <c r="C287" s="54">
        <f t="shared" si="203"/>
        <v>129.07916999999998</v>
      </c>
      <c r="D287" s="33">
        <f>C287*VLOOKUP($A$285,Ταρίφες!$A$6:$G$23,$K$6,FALSE)*(1+$F$3)^(B287-1)</f>
        <v>34851.375899999992</v>
      </c>
      <c r="E287" s="33">
        <f>C287*VLOOKUP($A$285,Ταρίφες!$A$6:$G$23,$K$7,FALSE)*(1+$F$3)^(B287-1)</f>
        <v>25170.438149999994</v>
      </c>
      <c r="F287" s="46">
        <f t="shared" si="199"/>
        <v>-2080.8000000000002</v>
      </c>
      <c r="G287" s="47">
        <f t="shared" si="200"/>
        <v>-832.31999999999994</v>
      </c>
      <c r="H287" s="47">
        <f t="shared" si="201"/>
        <v>-2913.12</v>
      </c>
      <c r="I287" s="46">
        <f t="shared" si="202"/>
        <v>-4681.8</v>
      </c>
      <c r="J287" s="47">
        <f t="shared" si="204"/>
        <v>-6130</v>
      </c>
      <c r="K287" s="47">
        <f t="shared" si="205"/>
        <v>-4735.4673339999981</v>
      </c>
      <c r="L287" s="47">
        <f t="shared" si="206"/>
        <v>-2218.4235189999986</v>
      </c>
      <c r="M287" s="47">
        <f t="shared" si="207"/>
        <v>19607.868565999994</v>
      </c>
      <c r="N287" s="47">
        <f t="shared" si="208"/>
        <v>12443.974630999995</v>
      </c>
      <c r="O287" s="34"/>
      <c r="P287" s="35"/>
      <c r="Q287" s="35"/>
      <c r="R287" s="33"/>
      <c r="S287" s="43"/>
      <c r="T287" s="19"/>
      <c r="U287" s="27">
        <f t="shared" si="209"/>
        <v>19607.868565999994</v>
      </c>
      <c r="V287" s="28">
        <f t="shared" si="210"/>
        <v>12443.974630999995</v>
      </c>
      <c r="AA287" s="96" t="e">
        <f t="shared" si="197"/>
        <v>#DIV/0!</v>
      </c>
      <c r="AB287" s="96" t="e">
        <f t="shared" si="198"/>
        <v>#DIV/0!</v>
      </c>
    </row>
    <row r="288" spans="1:28" hidden="1" outlineLevel="1" x14ac:dyDescent="0.25">
      <c r="A288" s="18"/>
      <c r="B288" s="38">
        <f t="shared" si="211"/>
        <v>4</v>
      </c>
      <c r="C288" s="54">
        <f t="shared" si="203"/>
        <v>127.78837829999998</v>
      </c>
      <c r="D288" s="33">
        <f>C288*VLOOKUP($A$285,Ταρίφες!$A$6:$G$23,$K$6,FALSE)*(1+$F$3)^(B288-1)</f>
        <v>34502.862140999991</v>
      </c>
      <c r="E288" s="33">
        <f>C288*VLOOKUP($A$285,Ταρίφες!$A$6:$G$23,$K$7,FALSE)*(1+$F$3)^(B288-1)</f>
        <v>24918.733768499995</v>
      </c>
      <c r="F288" s="46">
        <f t="shared" si="199"/>
        <v>-2122.4159999999997</v>
      </c>
      <c r="G288" s="47">
        <f t="shared" si="200"/>
        <v>-848.96639999999991</v>
      </c>
      <c r="H288" s="47">
        <f t="shared" si="201"/>
        <v>-2971.3824</v>
      </c>
      <c r="I288" s="46">
        <f t="shared" si="202"/>
        <v>-4775.4359999999997</v>
      </c>
      <c r="J288" s="47">
        <f t="shared" si="204"/>
        <v>-6130</v>
      </c>
      <c r="K288" s="47">
        <f t="shared" si="205"/>
        <v>-4590.2119486599977</v>
      </c>
      <c r="L288" s="47">
        <f t="shared" si="206"/>
        <v>-2098.3385718099989</v>
      </c>
      <c r="M288" s="47">
        <f t="shared" si="207"/>
        <v>19194.449392339993</v>
      </c>
      <c r="N288" s="47">
        <f t="shared" si="208"/>
        <v>12102.194396689996</v>
      </c>
      <c r="O288" s="34"/>
      <c r="P288" s="35"/>
      <c r="Q288" s="35"/>
      <c r="R288" s="33"/>
      <c r="S288" s="43"/>
      <c r="T288" s="19"/>
      <c r="U288" s="27">
        <f t="shared" si="209"/>
        <v>19194.449392339993</v>
      </c>
      <c r="V288" s="28">
        <f t="shared" si="210"/>
        <v>12102.194396689996</v>
      </c>
      <c r="AA288" s="96" t="e">
        <f t="shared" si="197"/>
        <v>#DIV/0!</v>
      </c>
      <c r="AB288" s="96" t="e">
        <f t="shared" si="198"/>
        <v>#DIV/0!</v>
      </c>
    </row>
    <row r="289" spans="1:28" hidden="1" outlineLevel="1" x14ac:dyDescent="0.25">
      <c r="A289" s="18"/>
      <c r="B289" s="38">
        <f t="shared" si="211"/>
        <v>5</v>
      </c>
      <c r="C289" s="54">
        <f t="shared" si="203"/>
        <v>126.51049451699997</v>
      </c>
      <c r="D289" s="33">
        <f>C289*VLOOKUP($A$285,Ταρίφες!$A$6:$G$23,$K$6,FALSE)*(1+$F$3)^(B289-1)</f>
        <v>34157.833519589993</v>
      </c>
      <c r="E289" s="33">
        <f>C289*VLOOKUP($A$285,Ταρίφες!$A$6:$G$23,$K$7,FALSE)*(1+$F$3)^(B289-1)</f>
        <v>24669.546430814993</v>
      </c>
      <c r="F289" s="46">
        <f t="shared" si="199"/>
        <v>-2164.8643200000001</v>
      </c>
      <c r="G289" s="47">
        <f t="shared" si="200"/>
        <v>-865.94572800000003</v>
      </c>
      <c r="H289" s="47">
        <f t="shared" si="201"/>
        <v>-3030.8100479999998</v>
      </c>
      <c r="I289" s="46">
        <f t="shared" si="202"/>
        <v>-4870.9447199999995</v>
      </c>
      <c r="J289" s="47">
        <f t="shared" si="204"/>
        <v>-6130</v>
      </c>
      <c r="K289" s="47">
        <f t="shared" si="205"/>
        <v>-4444.7698629333991</v>
      </c>
      <c r="L289" s="47">
        <f t="shared" si="206"/>
        <v>-1977.8152198518987</v>
      </c>
      <c r="M289" s="47">
        <f t="shared" si="207"/>
        <v>18780.498840656597</v>
      </c>
      <c r="N289" s="47">
        <f t="shared" si="208"/>
        <v>11759.166394963095</v>
      </c>
      <c r="O289" s="34"/>
      <c r="P289" s="35"/>
      <c r="Q289" s="35"/>
      <c r="R289" s="33"/>
      <c r="S289" s="43"/>
      <c r="T289" s="19"/>
      <c r="U289" s="27">
        <f t="shared" si="209"/>
        <v>18780.498840656597</v>
      </c>
      <c r="V289" s="28">
        <f t="shared" si="210"/>
        <v>11759.166394963095</v>
      </c>
      <c r="AA289" s="96" t="e">
        <f t="shared" si="197"/>
        <v>#DIV/0!</v>
      </c>
      <c r="AB289" s="96" t="e">
        <f t="shared" si="198"/>
        <v>#DIV/0!</v>
      </c>
    </row>
    <row r="290" spans="1:28" hidden="1" outlineLevel="1" x14ac:dyDescent="0.25">
      <c r="A290" s="18"/>
      <c r="B290" s="38">
        <f t="shared" si="211"/>
        <v>6</v>
      </c>
      <c r="C290" s="54">
        <f t="shared" si="203"/>
        <v>125.24538957182997</v>
      </c>
      <c r="D290" s="33">
        <f>C290*VLOOKUP($A$285,Ταρίφες!$A$6:$G$23,$K$6,FALSE)*(1+$F$3)^(B290-1)</f>
        <v>33816.255184394096</v>
      </c>
      <c r="E290" s="33">
        <f>C290*VLOOKUP($A$285,Ταρίφες!$A$6:$G$23,$K$7,FALSE)*(1+$F$3)^(B290-1)</f>
        <v>24422.850966506845</v>
      </c>
      <c r="F290" s="46">
        <f t="shared" si="199"/>
        <v>-2208.1616064</v>
      </c>
      <c r="G290" s="47">
        <f t="shared" si="200"/>
        <v>-883.26464255999997</v>
      </c>
      <c r="H290" s="47">
        <f t="shared" si="201"/>
        <v>-3091.4262489600001</v>
      </c>
      <c r="I290" s="46">
        <f t="shared" si="202"/>
        <v>-4968.3636144000002</v>
      </c>
      <c r="J290" s="47">
        <f t="shared" si="204"/>
        <v>-6130</v>
      </c>
      <c r="K290" s="47">
        <f t="shared" si="205"/>
        <v>-4299.1101587392659</v>
      </c>
      <c r="L290" s="47">
        <f t="shared" si="206"/>
        <v>-1856.8250620885801</v>
      </c>
      <c r="M290" s="47">
        <f t="shared" si="207"/>
        <v>18365.928913334832</v>
      </c>
      <c r="N290" s="47">
        <f t="shared" si="208"/>
        <v>11414.809792098265</v>
      </c>
      <c r="O290" s="34"/>
      <c r="P290" s="35"/>
      <c r="Q290" s="35"/>
      <c r="R290" s="33"/>
      <c r="S290" s="43"/>
      <c r="T290" s="19"/>
      <c r="U290" s="27">
        <f t="shared" si="209"/>
        <v>18365.928913334832</v>
      </c>
      <c r="V290" s="28">
        <f t="shared" si="210"/>
        <v>11414.809792098265</v>
      </c>
      <c r="AA290" s="96" t="e">
        <f t="shared" si="197"/>
        <v>#DIV/0!</v>
      </c>
      <c r="AB290" s="96" t="e">
        <f t="shared" si="198"/>
        <v>#DIV/0!</v>
      </c>
    </row>
    <row r="291" spans="1:28" hidden="1" outlineLevel="1" x14ac:dyDescent="0.25">
      <c r="A291" s="18"/>
      <c r="B291" s="38">
        <f t="shared" si="211"/>
        <v>7</v>
      </c>
      <c r="C291" s="54">
        <f t="shared" si="203"/>
        <v>123.99293567611167</v>
      </c>
      <c r="D291" s="33">
        <f>C291*VLOOKUP($A$285,Ταρίφες!$A$6:$G$23,$K$6,FALSE)*(1+$F$3)^(B291-1)</f>
        <v>33478.09263255015</v>
      </c>
      <c r="E291" s="33">
        <f>C291*VLOOKUP($A$285,Ταρίφες!$A$6:$G$23,$K$7,FALSE)*(1+$F$3)^(B291-1)</f>
        <v>24178.622456841775</v>
      </c>
      <c r="F291" s="46">
        <f t="shared" si="199"/>
        <v>-2252.3248385280003</v>
      </c>
      <c r="G291" s="47">
        <f t="shared" si="200"/>
        <v>-900.92993541120006</v>
      </c>
      <c r="H291" s="47">
        <f t="shared" si="201"/>
        <v>-3153.2547739392003</v>
      </c>
      <c r="I291" s="46">
        <f t="shared" si="202"/>
        <v>-5067.7308866880003</v>
      </c>
      <c r="J291" s="47">
        <f t="shared" si="204"/>
        <v>-6130</v>
      </c>
      <c r="K291" s="47">
        <f t="shared" si="205"/>
        <v>-4153.2015714757754</v>
      </c>
      <c r="L291" s="47">
        <f t="shared" si="206"/>
        <v>-1735.3393257915975</v>
      </c>
      <c r="M291" s="47">
        <f t="shared" si="207"/>
        <v>17950.650626507973</v>
      </c>
      <c r="N291" s="47">
        <f t="shared" si="208"/>
        <v>11069.042696483777</v>
      </c>
      <c r="O291" s="34"/>
      <c r="P291" s="35"/>
      <c r="Q291" s="35"/>
      <c r="R291" s="33"/>
      <c r="S291" s="43"/>
      <c r="T291" s="19"/>
      <c r="U291" s="27">
        <f t="shared" si="209"/>
        <v>17950.650626507973</v>
      </c>
      <c r="V291" s="28">
        <f t="shared" si="210"/>
        <v>11069.042696483777</v>
      </c>
      <c r="AA291" s="96" t="e">
        <f t="shared" si="197"/>
        <v>#DIV/0!</v>
      </c>
      <c r="AB291" s="96" t="e">
        <f t="shared" si="198"/>
        <v>#DIV/0!</v>
      </c>
    </row>
    <row r="292" spans="1:28" hidden="1" outlineLevel="1" x14ac:dyDescent="0.25">
      <c r="A292" s="18"/>
      <c r="B292" s="38">
        <f t="shared" si="211"/>
        <v>8</v>
      </c>
      <c r="C292" s="54">
        <f t="shared" si="203"/>
        <v>122.75300631935055</v>
      </c>
      <c r="D292" s="33">
        <f>C292*VLOOKUP($A$285,Ταρίφες!$A$6:$G$23,$K$6,FALSE)*(1+$F$3)^(B292-1)</f>
        <v>33143.311706224646</v>
      </c>
      <c r="E292" s="33">
        <f>C292*VLOOKUP($A$285,Ταρίφες!$A$6:$G$23,$K$7,FALSE)*(1+$F$3)^(B292-1)</f>
        <v>23936.836232273356</v>
      </c>
      <c r="F292" s="46">
        <f t="shared" si="199"/>
        <v>-2297.3713352985596</v>
      </c>
      <c r="G292" s="47">
        <f t="shared" si="200"/>
        <v>-918.94853411942381</v>
      </c>
      <c r="H292" s="47">
        <f t="shared" si="201"/>
        <v>-3216.3198694179837</v>
      </c>
      <c r="I292" s="46">
        <f t="shared" si="202"/>
        <v>-5169.0855044217587</v>
      </c>
      <c r="J292" s="47">
        <f t="shared" si="204"/>
        <v>-6130</v>
      </c>
      <c r="K292" s="47">
        <f t="shared" si="205"/>
        <v>-4007.0124803713993</v>
      </c>
      <c r="L292" s="47">
        <f t="shared" si="206"/>
        <v>-1613.3288571440637</v>
      </c>
      <c r="M292" s="47">
        <f t="shared" si="207"/>
        <v>17534.573982595521</v>
      </c>
      <c r="N292" s="47">
        <f t="shared" si="208"/>
        <v>10721.782131871565</v>
      </c>
      <c r="O292" s="34"/>
      <c r="P292" s="35"/>
      <c r="Q292" s="35"/>
      <c r="R292" s="33"/>
      <c r="S292" s="43"/>
      <c r="T292" s="19"/>
      <c r="U292" s="27">
        <f t="shared" si="209"/>
        <v>17534.573982595521</v>
      </c>
      <c r="V292" s="28">
        <f t="shared" si="210"/>
        <v>10721.782131871565</v>
      </c>
      <c r="AA292" s="96" t="e">
        <f t="shared" si="197"/>
        <v>#DIV/0!</v>
      </c>
      <c r="AB292" s="96" t="e">
        <f t="shared" si="198"/>
        <v>#DIV/0!</v>
      </c>
    </row>
    <row r="293" spans="1:28" hidden="1" outlineLevel="1" x14ac:dyDescent="0.25">
      <c r="A293" s="18"/>
      <c r="B293" s="38">
        <f t="shared" si="211"/>
        <v>9</v>
      </c>
      <c r="C293" s="54">
        <f t="shared" si="203"/>
        <v>121.52547625615703</v>
      </c>
      <c r="D293" s="33">
        <f>C293*VLOOKUP($A$285,Ταρίφες!$A$6:$G$23,$K$6,FALSE)*(1+$F$3)^(B293-1)</f>
        <v>32811.878589162399</v>
      </c>
      <c r="E293" s="33">
        <f>C293*VLOOKUP($A$285,Ταρίφες!$A$6:$G$23,$K$7,FALSE)*(1+$F$3)^(B293-1)</f>
        <v>23697.467869950622</v>
      </c>
      <c r="F293" s="46">
        <f t="shared" si="199"/>
        <v>-2343.318762004531</v>
      </c>
      <c r="G293" s="47">
        <f t="shared" si="200"/>
        <v>-937.32750480181244</v>
      </c>
      <c r="H293" s="47">
        <f t="shared" si="201"/>
        <v>-3280.6462668063436</v>
      </c>
      <c r="I293" s="46">
        <f t="shared" si="202"/>
        <v>-5272.4672145101949</v>
      </c>
      <c r="J293" s="47">
        <f t="shared" si="204"/>
        <v>-6130</v>
      </c>
      <c r="K293" s="47">
        <f t="shared" si="205"/>
        <v>-3860.5108986702749</v>
      </c>
      <c r="L293" s="47">
        <f t="shared" si="206"/>
        <v>-1490.7641116752129</v>
      </c>
      <c r="M293" s="47">
        <f t="shared" si="207"/>
        <v>17117.607942369243</v>
      </c>
      <c r="N293" s="47">
        <f t="shared" si="208"/>
        <v>10372.944010152529</v>
      </c>
      <c r="O293" s="34"/>
      <c r="P293" s="35"/>
      <c r="Q293" s="35"/>
      <c r="R293" s="33"/>
      <c r="S293" s="43"/>
      <c r="T293" s="19"/>
      <c r="U293" s="27">
        <f t="shared" si="209"/>
        <v>17117.607942369243</v>
      </c>
      <c r="V293" s="28">
        <f t="shared" si="210"/>
        <v>10372.944010152529</v>
      </c>
      <c r="AA293" s="96" t="e">
        <f t="shared" si="197"/>
        <v>#DIV/0!</v>
      </c>
      <c r="AB293" s="96" t="e">
        <f t="shared" si="198"/>
        <v>#DIV/0!</v>
      </c>
    </row>
    <row r="294" spans="1:28" hidden="1" outlineLevel="1" x14ac:dyDescent="0.25">
      <c r="A294" s="18"/>
      <c r="B294" s="38">
        <f t="shared" si="211"/>
        <v>10</v>
      </c>
      <c r="C294" s="54">
        <f t="shared" si="203"/>
        <v>120.31022149359546</v>
      </c>
      <c r="D294" s="33">
        <f>C294*VLOOKUP($A$285,Ταρίφες!$A$6:$G$23,$K$6,FALSE)*(1+$F$3)^(B294-1)</f>
        <v>32483.759803270776</v>
      </c>
      <c r="E294" s="33">
        <f>C294*VLOOKUP($A$285,Ταρίφες!$A$6:$G$23,$K$7,FALSE)*(1+$F$3)^(B294-1)</f>
        <v>23460.493191251117</v>
      </c>
      <c r="F294" s="46">
        <f t="shared" si="199"/>
        <v>-2390.1851372446217</v>
      </c>
      <c r="G294" s="47">
        <f t="shared" si="200"/>
        <v>-956.07405489784867</v>
      </c>
      <c r="H294" s="47">
        <f t="shared" si="201"/>
        <v>-3346.2591921424705</v>
      </c>
      <c r="I294" s="46">
        <f t="shared" si="202"/>
        <v>-5377.9165588003989</v>
      </c>
      <c r="J294" s="47">
        <f t="shared" si="204"/>
        <v>-6130</v>
      </c>
      <c r="K294" s="47">
        <f t="shared" si="205"/>
        <v>-3713.6644636482133</v>
      </c>
      <c r="L294" s="47">
        <f t="shared" si="206"/>
        <v>-1367.6151445231019</v>
      </c>
      <c r="M294" s="47">
        <f t="shared" si="207"/>
        <v>16699.660396537223</v>
      </c>
      <c r="N294" s="47">
        <f t="shared" si="208"/>
        <v>10022.443103642674</v>
      </c>
      <c r="O294" s="34"/>
      <c r="P294" s="35"/>
      <c r="Q294" s="35"/>
      <c r="R294" s="33"/>
      <c r="S294" s="43"/>
      <c r="T294" s="19"/>
      <c r="U294" s="27">
        <f t="shared" si="209"/>
        <v>16699.660396537223</v>
      </c>
      <c r="V294" s="28">
        <f t="shared" si="210"/>
        <v>10022.443103642674</v>
      </c>
      <c r="AA294" s="96" t="e">
        <f t="shared" si="197"/>
        <v>#DIV/0!</v>
      </c>
      <c r="AB294" s="96" t="e">
        <f t="shared" si="198"/>
        <v>#DIV/0!</v>
      </c>
    </row>
    <row r="295" spans="1:28" hidden="1" outlineLevel="1" x14ac:dyDescent="0.25">
      <c r="A295" s="18"/>
      <c r="B295" s="38">
        <f t="shared" si="211"/>
        <v>11</v>
      </c>
      <c r="C295" s="54">
        <f t="shared" si="203"/>
        <v>119.10711927865951</v>
      </c>
      <c r="D295" s="33">
        <f>C295*VLOOKUP($A$285,Ταρίφες!$A$6:$G$23,$K$6,FALSE)*(1+$F$3)^(B295-1)</f>
        <v>32158.922205238068</v>
      </c>
      <c r="E295" s="33">
        <f>C295*VLOOKUP($A$285,Ταρίφες!$A$6:$G$23,$K$7,FALSE)*(1+$F$3)^(B295-1)</f>
        <v>23225.888259338604</v>
      </c>
      <c r="F295" s="46">
        <f t="shared" si="199"/>
        <v>-2437.9888399895144</v>
      </c>
      <c r="G295" s="47">
        <f t="shared" si="200"/>
        <v>-975.1955359958057</v>
      </c>
      <c r="H295" s="47">
        <f t="shared" si="201"/>
        <v>-3413.18437598532</v>
      </c>
      <c r="I295" s="46">
        <f t="shared" si="202"/>
        <v>-5485.4748899764072</v>
      </c>
      <c r="J295" s="47">
        <f t="shared" si="204"/>
        <v>-6130</v>
      </c>
      <c r="K295" s="47">
        <f t="shared" si="205"/>
        <v>-3566.4404264556661</v>
      </c>
      <c r="L295" s="47">
        <f t="shared" si="206"/>
        <v>-1243.8516005218053</v>
      </c>
      <c r="M295" s="47">
        <f t="shared" si="207"/>
        <v>16280.638136835354</v>
      </c>
      <c r="N295" s="47">
        <f t="shared" si="208"/>
        <v>9670.1930168697509</v>
      </c>
      <c r="O295" s="34"/>
      <c r="P295" s="35"/>
      <c r="Q295" s="35"/>
      <c r="R295" s="33"/>
      <c r="S295" s="43"/>
      <c r="T295" s="19"/>
      <c r="U295" s="27">
        <f t="shared" si="209"/>
        <v>16280.638136835354</v>
      </c>
      <c r="V295" s="28">
        <f t="shared" si="210"/>
        <v>9670.1930168697509</v>
      </c>
      <c r="AA295" s="96" t="e">
        <f t="shared" si="197"/>
        <v>#DIV/0!</v>
      </c>
      <c r="AB295" s="96" t="e">
        <f t="shared" si="198"/>
        <v>#DIV/0!</v>
      </c>
    </row>
    <row r="296" spans="1:28" hidden="1" outlineLevel="1" x14ac:dyDescent="0.25">
      <c r="A296" s="18"/>
      <c r="B296" s="38">
        <f t="shared" si="211"/>
        <v>12</v>
      </c>
      <c r="C296" s="54">
        <f t="shared" si="203"/>
        <v>117.91604808587292</v>
      </c>
      <c r="D296" s="33">
        <f>C296*VLOOKUP($A$285,Ταρίφες!$A$6:$G$23,$K$6,FALSE)*(1+$F$3)^(B296-1)</f>
        <v>31837.332983185686</v>
      </c>
      <c r="E296" s="33">
        <f>C296*VLOOKUP($A$285,Ταρίφες!$A$6:$G$23,$K$7,FALSE)*(1+$F$3)^(B296-1)</f>
        <v>22993.629376745219</v>
      </c>
      <c r="F296" s="46">
        <f t="shared" si="199"/>
        <v>-2486.7486167893039</v>
      </c>
      <c r="G296" s="47">
        <f t="shared" si="200"/>
        <v>-994.69944671572159</v>
      </c>
      <c r="H296" s="47">
        <f t="shared" si="201"/>
        <v>-3481.4480635050259</v>
      </c>
      <c r="I296" s="46">
        <f t="shared" si="202"/>
        <v>-5595.1843877759338</v>
      </c>
      <c r="J296" s="47">
        <f t="shared" si="204"/>
        <v>-6130</v>
      </c>
      <c r="K296" s="47">
        <f t="shared" si="205"/>
        <v>-3418.8056417839221</v>
      </c>
      <c r="L296" s="47">
        <f t="shared" si="206"/>
        <v>-1119.4427041094004</v>
      </c>
      <c r="M296" s="47">
        <f t="shared" si="207"/>
        <v>15860.446826615778</v>
      </c>
      <c r="N296" s="47">
        <f t="shared" si="208"/>
        <v>9316.106157849832</v>
      </c>
      <c r="O296" s="34"/>
      <c r="P296" s="35"/>
      <c r="Q296" s="35"/>
      <c r="R296" s="33"/>
      <c r="S296" s="43"/>
      <c r="T296" s="19"/>
      <c r="U296" s="27">
        <f t="shared" si="209"/>
        <v>15860.446826615778</v>
      </c>
      <c r="V296" s="28">
        <f t="shared" si="210"/>
        <v>9316.106157849832</v>
      </c>
      <c r="AA296" s="96" t="e">
        <f t="shared" si="197"/>
        <v>#DIV/0!</v>
      </c>
      <c r="AB296" s="96" t="e">
        <f t="shared" si="198"/>
        <v>#DIV/0!</v>
      </c>
    </row>
    <row r="297" spans="1:28" hidden="1" outlineLevel="1" x14ac:dyDescent="0.25">
      <c r="A297" s="18"/>
      <c r="B297" s="38">
        <f t="shared" si="211"/>
        <v>13</v>
      </c>
      <c r="C297" s="54">
        <f t="shared" si="203"/>
        <v>116.73688760501419</v>
      </c>
      <c r="D297" s="33">
        <f>C297*VLOOKUP($A$285,Ταρίφες!$A$6:$G$23,$K$6,FALSE)*(1+$F$3)^(B297-1)</f>
        <v>31518.959653353832</v>
      </c>
      <c r="E297" s="33">
        <f>C297*VLOOKUP($A$285,Ταρίφες!$A$6:$G$23,$K$7,FALSE)*(1+$F$3)^(B297-1)</f>
        <v>22763.693082977767</v>
      </c>
      <c r="F297" s="46">
        <f t="shared" si="199"/>
        <v>-2536.4835891250905</v>
      </c>
      <c r="G297" s="47">
        <f t="shared" si="200"/>
        <v>-1014.5934356500362</v>
      </c>
      <c r="H297" s="47">
        <f t="shared" si="201"/>
        <v>-3551.0770247751266</v>
      </c>
      <c r="I297" s="46">
        <f t="shared" si="202"/>
        <v>-5707.0880755314538</v>
      </c>
      <c r="J297" s="47">
        <f t="shared" si="204"/>
        <v>-6130</v>
      </c>
      <c r="K297" s="47">
        <f t="shared" si="205"/>
        <v>-3270.726557350753</v>
      </c>
      <c r="L297" s="47">
        <f t="shared" si="206"/>
        <v>-994.35724905297582</v>
      </c>
      <c r="M297" s="47">
        <f t="shared" si="207"/>
        <v>15438.990970921372</v>
      </c>
      <c r="N297" s="47">
        <f t="shared" si="208"/>
        <v>8960.0937088430856</v>
      </c>
      <c r="O297" s="34"/>
      <c r="P297" s="35"/>
      <c r="Q297" s="35"/>
      <c r="R297" s="33"/>
      <c r="S297" s="43"/>
      <c r="T297" s="19"/>
      <c r="U297" s="27">
        <f t="shared" si="209"/>
        <v>15438.990970921372</v>
      </c>
      <c r="V297" s="28">
        <f t="shared" si="210"/>
        <v>8960.0937088430856</v>
      </c>
      <c r="AA297" s="96" t="e">
        <f t="shared" si="197"/>
        <v>#DIV/0!</v>
      </c>
      <c r="AB297" s="96" t="e">
        <f t="shared" si="198"/>
        <v>#DIV/0!</v>
      </c>
    </row>
    <row r="298" spans="1:28" hidden="1" outlineLevel="1" x14ac:dyDescent="0.25">
      <c r="A298" s="18"/>
      <c r="B298" s="38">
        <f t="shared" si="211"/>
        <v>14</v>
      </c>
      <c r="C298" s="54">
        <f t="shared" si="203"/>
        <v>115.56951872896404</v>
      </c>
      <c r="D298" s="33">
        <f>C298*VLOOKUP($A$285,Ταρίφες!$A$6:$G$23,$K$6,FALSE)*(1+$F$3)^(B298-1)</f>
        <v>31203.770056820293</v>
      </c>
      <c r="E298" s="33">
        <f>C298*VLOOKUP($A$285,Ταρίφες!$A$6:$G$23,$K$7,FALSE)*(1+$F$3)^(B298-1)</f>
        <v>22536.056152147987</v>
      </c>
      <c r="F298" s="46">
        <f t="shared" si="199"/>
        <v>-2587.213260907592</v>
      </c>
      <c r="G298" s="47">
        <f t="shared" si="200"/>
        <v>-1034.8853043630368</v>
      </c>
      <c r="H298" s="47">
        <f t="shared" si="201"/>
        <v>-3622.098565270629</v>
      </c>
      <c r="I298" s="46">
        <f t="shared" si="202"/>
        <v>-5821.2298370420822</v>
      </c>
      <c r="J298" s="47">
        <f t="shared" si="204"/>
        <v>-6130</v>
      </c>
      <c r="K298" s="47">
        <f t="shared" si="205"/>
        <v>-3122.1692032016081</v>
      </c>
      <c r="L298" s="47">
        <f t="shared" si="206"/>
        <v>-868.56358798680856</v>
      </c>
      <c r="M298" s="47">
        <f t="shared" si="207"/>
        <v>15016.173886035347</v>
      </c>
      <c r="N298" s="47">
        <f t="shared" si="208"/>
        <v>8602.0655965778406</v>
      </c>
      <c r="O298" s="34"/>
      <c r="P298" s="35"/>
      <c r="Q298" s="35"/>
      <c r="R298" s="33"/>
      <c r="S298" s="43"/>
      <c r="T298" s="19"/>
      <c r="U298" s="27">
        <f t="shared" si="209"/>
        <v>15016.173886035347</v>
      </c>
      <c r="V298" s="28">
        <f t="shared" si="210"/>
        <v>8602.0655965778406</v>
      </c>
      <c r="AA298" s="96" t="e">
        <f t="shared" si="197"/>
        <v>#DIV/0!</v>
      </c>
      <c r="AB298" s="96" t="e">
        <f t="shared" si="198"/>
        <v>#DIV/0!</v>
      </c>
    </row>
    <row r="299" spans="1:28" hidden="1" outlineLevel="1" x14ac:dyDescent="0.25">
      <c r="A299" s="18"/>
      <c r="B299" s="38">
        <f t="shared" si="211"/>
        <v>15</v>
      </c>
      <c r="C299" s="54">
        <f t="shared" si="203"/>
        <v>114.4138235416744</v>
      </c>
      <c r="D299" s="33">
        <f>C299*VLOOKUP($A$285,Ταρίφες!$A$6:$G$23,$K$6,FALSE)*(1+$F$3)^(B299-1)</f>
        <v>30891.732356252091</v>
      </c>
      <c r="E299" s="33">
        <f>C299*VLOOKUP($A$285,Ταρίφες!$A$6:$G$23,$K$7,FALSE)*(1+$F$3)^(B299-1)</f>
        <v>22310.69559062651</v>
      </c>
      <c r="F299" s="46">
        <f t="shared" si="199"/>
        <v>-2638.9575261257442</v>
      </c>
      <c r="G299" s="47">
        <f t="shared" si="200"/>
        <v>-1055.5830104502977</v>
      </c>
      <c r="H299" s="47">
        <f t="shared" si="201"/>
        <v>-3694.5405365760421</v>
      </c>
      <c r="I299" s="46">
        <f t="shared" si="202"/>
        <v>-5937.6544337829246</v>
      </c>
      <c r="J299" s="47">
        <f t="shared" si="204"/>
        <v>-6130</v>
      </c>
      <c r="K299" s="47">
        <f t="shared" si="205"/>
        <v>-2973.0991808224412</v>
      </c>
      <c r="L299" s="47">
        <f t="shared" si="206"/>
        <v>-742.02962175979042</v>
      </c>
      <c r="M299" s="47">
        <f t="shared" si="207"/>
        <v>14591.897668494641</v>
      </c>
      <c r="N299" s="47">
        <f t="shared" si="208"/>
        <v>8241.9304619317118</v>
      </c>
      <c r="O299" s="34"/>
      <c r="P299" s="35"/>
      <c r="Q299" s="35"/>
      <c r="R299" s="33"/>
      <c r="S299" s="43"/>
      <c r="T299" s="19"/>
      <c r="U299" s="27">
        <f t="shared" si="209"/>
        <v>14591.897668494641</v>
      </c>
      <c r="V299" s="28">
        <f t="shared" si="210"/>
        <v>8241.9304619317118</v>
      </c>
      <c r="AA299" s="96" t="e">
        <f t="shared" si="197"/>
        <v>#DIV/0!</v>
      </c>
      <c r="AB299" s="96" t="e">
        <f t="shared" si="198"/>
        <v>#DIV/0!</v>
      </c>
    </row>
    <row r="300" spans="1:28" hidden="1" outlineLevel="1" x14ac:dyDescent="0.25">
      <c r="A300" s="18"/>
      <c r="B300" s="38">
        <f t="shared" si="211"/>
        <v>16</v>
      </c>
      <c r="C300" s="54">
        <f t="shared" si="203"/>
        <v>113.26968530625766</v>
      </c>
      <c r="D300" s="33">
        <f>C300*VLOOKUP($A$285,Ταρίφες!$A$6:$G$23,$K$6,FALSE)*(1+$F$3)^(B300-1)</f>
        <v>30582.815032689567</v>
      </c>
      <c r="E300" s="33">
        <f>C300*VLOOKUP($A$285,Ταρίφες!$A$6:$G$23,$K$7,FALSE)*(1+$F$3)^(B300-1)</f>
        <v>22087.588634720243</v>
      </c>
      <c r="F300" s="46">
        <f t="shared" si="199"/>
        <v>-2691.7366766482583</v>
      </c>
      <c r="G300" s="47">
        <f t="shared" si="200"/>
        <v>-1076.6946706593035</v>
      </c>
      <c r="H300" s="47">
        <f t="shared" si="201"/>
        <v>-3768.4313473075617</v>
      </c>
      <c r="I300" s="46">
        <f t="shared" si="202"/>
        <v>-6056.4075224585813</v>
      </c>
      <c r="J300" s="47">
        <f t="shared" si="204"/>
        <v>-6130</v>
      </c>
      <c r="K300" s="47">
        <f t="shared" si="205"/>
        <v>-2823.4816520601248</v>
      </c>
      <c r="L300" s="47">
        <f t="shared" si="206"/>
        <v>-614.72278858810046</v>
      </c>
      <c r="M300" s="47">
        <f t="shared" si="207"/>
        <v>14166.063163555735</v>
      </c>
      <c r="N300" s="47">
        <f t="shared" si="208"/>
        <v>7879.5956290584381</v>
      </c>
      <c r="O300" s="34"/>
      <c r="P300" s="35"/>
      <c r="Q300" s="35"/>
      <c r="R300" s="33"/>
      <c r="S300" s="43"/>
      <c r="T300" s="19"/>
      <c r="U300" s="27">
        <f t="shared" si="209"/>
        <v>14166.063163555735</v>
      </c>
      <c r="V300" s="28">
        <f t="shared" si="210"/>
        <v>7879.5956290584381</v>
      </c>
      <c r="AA300" s="96" t="e">
        <f t="shared" si="197"/>
        <v>#DIV/0!</v>
      </c>
      <c r="AB300" s="96" t="e">
        <f t="shared" si="198"/>
        <v>#DIV/0!</v>
      </c>
    </row>
    <row r="301" spans="1:28" hidden="1" outlineLevel="1" x14ac:dyDescent="0.25">
      <c r="A301" s="18"/>
      <c r="B301" s="38">
        <f t="shared" si="211"/>
        <v>17</v>
      </c>
      <c r="C301" s="54">
        <f t="shared" si="203"/>
        <v>112.13698845319507</v>
      </c>
      <c r="D301" s="33">
        <f>C301*VLOOKUP($A$285,Ταρίφες!$A$6:$G$23,$K$6,FALSE)*(1+$F$3)^(B301-1)</f>
        <v>30276.986882362671</v>
      </c>
      <c r="E301" s="33">
        <f>C301*VLOOKUP($A$285,Ταρίφες!$A$6:$G$23,$K$7,FALSE)*(1+$F$3)^(B301-1)</f>
        <v>21866.71274837304</v>
      </c>
      <c r="F301" s="46">
        <f t="shared" si="199"/>
        <v>-2745.5714101812241</v>
      </c>
      <c r="G301" s="47">
        <f t="shared" si="200"/>
        <v>-1098.2285640724897</v>
      </c>
      <c r="H301" s="47">
        <f t="shared" si="201"/>
        <v>-3843.7999742537136</v>
      </c>
      <c r="I301" s="46">
        <f t="shared" si="202"/>
        <v>-6177.5356729077539</v>
      </c>
      <c r="J301" s="47">
        <f t="shared" si="204"/>
        <v>-6130</v>
      </c>
      <c r="K301" s="47">
        <f t="shared" si="205"/>
        <v>-2673.2813278463473</v>
      </c>
      <c r="L301" s="47">
        <f t="shared" si="206"/>
        <v>-486.61005300904316</v>
      </c>
      <c r="M301" s="47">
        <f t="shared" si="207"/>
        <v>13738.569933101142</v>
      </c>
      <c r="N301" s="47">
        <f t="shared" si="208"/>
        <v>7514.9670739488147</v>
      </c>
      <c r="O301" s="34"/>
      <c r="P301" s="35"/>
      <c r="Q301" s="35"/>
      <c r="R301" s="33"/>
      <c r="S301" s="43"/>
      <c r="T301" s="19"/>
      <c r="U301" s="27">
        <f t="shared" si="209"/>
        <v>13738.569933101142</v>
      </c>
      <c r="V301" s="28">
        <f t="shared" si="210"/>
        <v>7514.9670739488147</v>
      </c>
      <c r="AA301" s="96" t="e">
        <f t="shared" si="197"/>
        <v>#DIV/0!</v>
      </c>
      <c r="AB301" s="96" t="e">
        <f t="shared" si="198"/>
        <v>#DIV/0!</v>
      </c>
    </row>
    <row r="302" spans="1:28" hidden="1" outlineLevel="1" x14ac:dyDescent="0.25">
      <c r="A302" s="18"/>
      <c r="B302" s="38">
        <f t="shared" si="211"/>
        <v>18</v>
      </c>
      <c r="C302" s="54">
        <f t="shared" si="203"/>
        <v>111.01561856866311</v>
      </c>
      <c r="D302" s="33">
        <f>C302*VLOOKUP($A$285,Ταρίφες!$A$6:$G$23,$K$6,FALSE)*(1+$F$3)^(B302-1)</f>
        <v>29974.217013539041</v>
      </c>
      <c r="E302" s="33">
        <f>C302*VLOOKUP($A$285,Ταρίφες!$A$6:$G$23,$K$7,FALSE)*(1+$F$3)^(B302-1)</f>
        <v>21648.045620889308</v>
      </c>
      <c r="F302" s="46">
        <f t="shared" si="199"/>
        <v>-2800.4828383848489</v>
      </c>
      <c r="G302" s="47">
        <f t="shared" si="200"/>
        <v>-1120.1931353539396</v>
      </c>
      <c r="H302" s="47">
        <f t="shared" si="201"/>
        <v>-3920.6759737387883</v>
      </c>
      <c r="I302" s="46">
        <f t="shared" si="202"/>
        <v>-6301.0863863659097</v>
      </c>
      <c r="J302" s="47">
        <f t="shared" si="204"/>
        <v>-6130</v>
      </c>
      <c r="K302" s="47">
        <f t="shared" si="205"/>
        <v>-2522.4624567208443</v>
      </c>
      <c r="L302" s="47">
        <f t="shared" si="206"/>
        <v>-357.65789463191396</v>
      </c>
      <c r="M302" s="47">
        <f t="shared" si="207"/>
        <v>13309.31622297471</v>
      </c>
      <c r="N302" s="47">
        <f t="shared" si="208"/>
        <v>7147.9493924139088</v>
      </c>
      <c r="O302" s="34"/>
      <c r="P302" s="35"/>
      <c r="Q302" s="35"/>
      <c r="R302" s="33"/>
      <c r="S302" s="43"/>
      <c r="T302" s="19"/>
      <c r="U302" s="27">
        <f t="shared" si="209"/>
        <v>13309.31622297471</v>
      </c>
      <c r="V302" s="28">
        <f t="shared" si="210"/>
        <v>7147.9493924139088</v>
      </c>
      <c r="AA302" s="96" t="e">
        <f t="shared" si="197"/>
        <v>#DIV/0!</v>
      </c>
      <c r="AB302" s="96" t="e">
        <f t="shared" si="198"/>
        <v>#DIV/0!</v>
      </c>
    </row>
    <row r="303" spans="1:28" hidden="1" outlineLevel="1" x14ac:dyDescent="0.25">
      <c r="A303" s="18"/>
      <c r="B303" s="38">
        <f t="shared" si="211"/>
        <v>19</v>
      </c>
      <c r="C303" s="54">
        <f t="shared" si="203"/>
        <v>109.90546238297648</v>
      </c>
      <c r="D303" s="33">
        <f>C303*VLOOKUP($A$285,Ταρίφες!$A$6:$G$23,$K$6,FALSE)*(1+$F$3)^(B303-1)</f>
        <v>29674.474843403648</v>
      </c>
      <c r="E303" s="33">
        <f>C303*VLOOKUP($A$285,Ταρίφες!$A$6:$G$23,$K$7,FALSE)*(1+$F$3)^(B303-1)</f>
        <v>21431.565164680414</v>
      </c>
      <c r="F303" s="46">
        <f t="shared" si="199"/>
        <v>-2856.4924951525454</v>
      </c>
      <c r="G303" s="47">
        <f t="shared" si="200"/>
        <v>-1142.5969980610182</v>
      </c>
      <c r="H303" s="47">
        <f t="shared" si="201"/>
        <v>-3999.0894932135634</v>
      </c>
      <c r="I303" s="46">
        <f t="shared" si="202"/>
        <v>-6427.1081140932274</v>
      </c>
      <c r="J303" s="47">
        <f t="shared" si="204"/>
        <v>-6130</v>
      </c>
      <c r="K303" s="47">
        <f t="shared" si="205"/>
        <v>-2370.9888131496559</v>
      </c>
      <c r="L303" s="47">
        <f t="shared" si="206"/>
        <v>-227.83229668161519</v>
      </c>
      <c r="M303" s="47">
        <f t="shared" si="207"/>
        <v>12878.198929733639</v>
      </c>
      <c r="N303" s="47">
        <f t="shared" si="208"/>
        <v>6778.4457674784453</v>
      </c>
      <c r="O303" s="34"/>
      <c r="P303" s="35"/>
      <c r="Q303" s="35"/>
      <c r="R303" s="33"/>
      <c r="S303" s="43"/>
      <c r="T303" s="19"/>
      <c r="U303" s="27">
        <f t="shared" si="209"/>
        <v>12878.198929733639</v>
      </c>
      <c r="V303" s="28">
        <f t="shared" si="210"/>
        <v>6778.4457674784453</v>
      </c>
      <c r="AA303" s="96" t="e">
        <f t="shared" si="197"/>
        <v>#DIV/0!</v>
      </c>
      <c r="AB303" s="96" t="e">
        <f t="shared" si="198"/>
        <v>#DIV/0!</v>
      </c>
    </row>
    <row r="304" spans="1:28" hidden="1" outlineLevel="1" x14ac:dyDescent="0.25">
      <c r="A304" s="18"/>
      <c r="B304" s="38">
        <f>B303+1</f>
        <v>20</v>
      </c>
      <c r="C304" s="54">
        <f>C303*(1-$F$2)</f>
        <v>108.80640775914671</v>
      </c>
      <c r="D304" s="33">
        <f>C304*VLOOKUP($A$285,Ταρίφες!$A$6:$G$23,$K$6,FALSE)*(1+$F$3)^(B304-1)</f>
        <v>29377.730094969611</v>
      </c>
      <c r="E304" s="33">
        <f>C304*VLOOKUP($A$285,Ταρίφες!$A$6:$G$23,$K$7,FALSE)*(1+$F$3)^(B304-1)</f>
        <v>21217.249513033606</v>
      </c>
      <c r="F304" s="46">
        <f t="shared" si="199"/>
        <v>-2913.6223450555963</v>
      </c>
      <c r="G304" s="47">
        <f t="shared" si="200"/>
        <v>-1165.4489380222385</v>
      </c>
      <c r="H304" s="47">
        <f>-$K$4*(1+$F$4)^(B304-$B$12)</f>
        <v>-4079.0712830778348</v>
      </c>
      <c r="I304" s="46">
        <f>-(4500*(1+$F$4)^(B304-$B$12))</f>
        <v>-6555.6502763750914</v>
      </c>
      <c r="J304" s="47">
        <f t="shared" si="204"/>
        <v>-6130</v>
      </c>
      <c r="K304" s="47">
        <f>-(D304+SUM(F304:J304))*$F$5</f>
        <v>-2218.8236856341009</v>
      </c>
      <c r="L304" s="47">
        <f>-(E304+SUM(F304:J304))*$F$5</f>
        <v>-97.098734330739617</v>
      </c>
      <c r="M304" s="47">
        <f>D304+SUM(F304:I304)+K304</f>
        <v>12445.113566804748</v>
      </c>
      <c r="N304" s="47">
        <f>E304+SUM(F304:I304)+L304</f>
        <v>6406.3579361721049</v>
      </c>
      <c r="O304" s="34"/>
      <c r="P304" s="35"/>
      <c r="Q304" s="35"/>
      <c r="R304" s="33"/>
      <c r="S304" s="43"/>
      <c r="T304" s="19"/>
      <c r="U304" s="27">
        <f>M304</f>
        <v>12445.113566804748</v>
      </c>
      <c r="V304" s="28">
        <f>N304</f>
        <v>6406.3579361721049</v>
      </c>
      <c r="AA304" s="96" t="e">
        <f t="shared" si="197"/>
        <v>#DIV/0!</v>
      </c>
      <c r="AB304" s="96" t="e">
        <f t="shared" si="198"/>
        <v>#DIV/0!</v>
      </c>
    </row>
    <row r="305" spans="15:28" s="40" customFormat="1" hidden="1" outlineLevel="1" x14ac:dyDescent="0.25">
      <c r="O305" s="17"/>
      <c r="P305" s="25"/>
      <c r="Q305" s="25"/>
      <c r="R305" s="22"/>
      <c r="S305" s="52"/>
      <c r="T305" s="44"/>
      <c r="U305" s="74">
        <f>O306</f>
        <v>0</v>
      </c>
      <c r="V305" s="74">
        <f>R306</f>
        <v>0</v>
      </c>
      <c r="AA305" s="96" t="e">
        <f t="shared" si="197"/>
        <v>#DIV/0!</v>
      </c>
      <c r="AB305" s="96" t="e">
        <f t="shared" si="198"/>
        <v>#DIV/0!</v>
      </c>
    </row>
  </sheetData>
  <mergeCells count="19">
    <mergeCell ref="B1:K1"/>
    <mergeCell ref="G8:J8"/>
    <mergeCell ref="B8:E8"/>
    <mergeCell ref="G2:J2"/>
    <mergeCell ref="G3:J3"/>
    <mergeCell ref="G4:J4"/>
    <mergeCell ref="G5:J5"/>
    <mergeCell ref="B2:E2"/>
    <mergeCell ref="B3:E3"/>
    <mergeCell ref="B4:E4"/>
    <mergeCell ref="B5:E5"/>
    <mergeCell ref="B6:E6"/>
    <mergeCell ref="G7:J7"/>
    <mergeCell ref="Y10:Z10"/>
    <mergeCell ref="G6:J6"/>
    <mergeCell ref="B7:E7"/>
    <mergeCell ref="W10:X10"/>
    <mergeCell ref="S10:T10"/>
    <mergeCell ref="C10:R10"/>
  </mergeCells>
  <conditionalFormatting sqref="S12:T28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2:Z222 Y264 Y243 Y285">
    <cfRule type="colorScale" priority="1">
      <colorScale>
        <cfvo type="min"/>
        <cfvo type="max"/>
        <color rgb="FFF8696B"/>
        <color rgb="FFFCFCFF"/>
      </colorScale>
    </cfRule>
  </conditionalFormatting>
  <pageMargins left="0.7" right="0.7" top="0.75" bottom="0.75" header="0.3" footer="0.3"/>
  <pageSetup paperSize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 summaryBelow="0"/>
  </sheetPr>
  <dimension ref="A1:Z305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J308" sqref="J308"/>
    </sheetView>
  </sheetViews>
  <sheetFormatPr defaultRowHeight="15" outlineLevelRow="1" x14ac:dyDescent="0.25"/>
  <cols>
    <col min="1" max="1" width="15.5703125" style="16" customWidth="1"/>
    <col min="2" max="2" width="6.85546875" style="20" customWidth="1"/>
    <col min="3" max="3" width="11.85546875" style="57" customWidth="1"/>
    <col min="4" max="5" width="9.42578125" style="16" bestFit="1" customWidth="1"/>
    <col min="6" max="9" width="12.28515625" style="45" bestFit="1" customWidth="1"/>
    <col min="10" max="12" width="13.42578125" style="45" bestFit="1" customWidth="1"/>
    <col min="13" max="14" width="14.42578125" style="45" bestFit="1" customWidth="1"/>
    <col min="15" max="15" width="10.7109375" style="16" customWidth="1"/>
    <col min="16" max="16" width="10.7109375" style="24" customWidth="1"/>
    <col min="17" max="17" width="12" style="24" bestFit="1" customWidth="1"/>
    <col min="18" max="18" width="12" style="23" bestFit="1" customWidth="1"/>
    <col min="19" max="19" width="8.28515625" style="41" customWidth="1"/>
    <col min="20" max="20" width="8.28515625" style="20" customWidth="1"/>
    <col min="21" max="21" width="12.5703125" style="16" hidden="1" customWidth="1"/>
    <col min="22" max="22" width="12" style="16" hidden="1" customWidth="1"/>
    <col min="23" max="16384" width="9.140625" style="16"/>
  </cols>
  <sheetData>
    <row r="1" spans="1:26" ht="25.5" customHeight="1" x14ac:dyDescent="0.25">
      <c r="B1" s="123" t="s">
        <v>98</v>
      </c>
      <c r="C1" s="123"/>
      <c r="D1" s="123"/>
      <c r="E1" s="123"/>
      <c r="F1" s="123"/>
      <c r="G1" s="123"/>
      <c r="H1" s="123"/>
      <c r="I1" s="123"/>
      <c r="J1" s="123"/>
      <c r="K1" s="123"/>
      <c r="O1"/>
      <c r="P1"/>
      <c r="Q1"/>
    </row>
    <row r="2" spans="1:26" x14ac:dyDescent="0.25">
      <c r="B2" s="112" t="s">
        <v>37</v>
      </c>
      <c r="C2" s="112"/>
      <c r="D2" s="112"/>
      <c r="E2" s="112"/>
      <c r="F2" s="76">
        <v>0.01</v>
      </c>
      <c r="G2" s="112" t="s">
        <v>101</v>
      </c>
      <c r="H2" s="112"/>
      <c r="I2" s="112"/>
      <c r="J2" s="112"/>
      <c r="K2" s="59">
        <v>80</v>
      </c>
      <c r="O2"/>
      <c r="P2"/>
      <c r="Q2"/>
    </row>
    <row r="3" spans="1:26" x14ac:dyDescent="0.25">
      <c r="B3" s="112" t="s">
        <v>38</v>
      </c>
      <c r="C3" s="112"/>
      <c r="D3" s="112"/>
      <c r="E3" s="112"/>
      <c r="F3" s="76">
        <v>0</v>
      </c>
      <c r="G3" s="117" t="s">
        <v>45</v>
      </c>
      <c r="H3" s="118"/>
      <c r="I3" s="118"/>
      <c r="J3" s="119"/>
      <c r="K3" s="75">
        <f>1.2*K2*1000</f>
        <v>96000</v>
      </c>
      <c r="O3"/>
      <c r="P3"/>
      <c r="Q3"/>
    </row>
    <row r="4" spans="1:26" x14ac:dyDescent="0.25">
      <c r="B4" s="112" t="s">
        <v>39</v>
      </c>
      <c r="C4" s="112"/>
      <c r="D4" s="112"/>
      <c r="E4" s="112"/>
      <c r="F4" s="76">
        <v>0.02</v>
      </c>
      <c r="G4" s="117" t="s">
        <v>61</v>
      </c>
      <c r="H4" s="118"/>
      <c r="I4" s="118"/>
      <c r="J4" s="119"/>
      <c r="K4" s="60">
        <v>2800</v>
      </c>
      <c r="O4"/>
      <c r="P4"/>
      <c r="Q4"/>
    </row>
    <row r="5" spans="1:26" x14ac:dyDescent="0.25">
      <c r="B5" s="112" t="s">
        <v>42</v>
      </c>
      <c r="C5" s="112"/>
      <c r="D5" s="112"/>
      <c r="E5" s="112"/>
      <c r="F5" s="77">
        <v>0.26</v>
      </c>
      <c r="G5" s="117" t="s">
        <v>100</v>
      </c>
      <c r="H5" s="118"/>
      <c r="I5" s="118"/>
      <c r="J5" s="119"/>
      <c r="K5" s="60">
        <v>2000</v>
      </c>
      <c r="O5"/>
      <c r="P5"/>
      <c r="Q5"/>
    </row>
    <row r="6" spans="1:26" x14ac:dyDescent="0.25">
      <c r="B6" s="112" t="s">
        <v>99</v>
      </c>
      <c r="C6" s="112"/>
      <c r="D6" s="112"/>
      <c r="E6" s="112"/>
      <c r="F6" s="77">
        <v>8.5000000000000006E-2</v>
      </c>
      <c r="G6" s="120" t="s">
        <v>59</v>
      </c>
      <c r="H6" s="121"/>
      <c r="I6" s="121"/>
      <c r="J6" s="122"/>
      <c r="K6" s="83">
        <v>5</v>
      </c>
      <c r="O6"/>
      <c r="P6"/>
      <c r="Q6"/>
    </row>
    <row r="7" spans="1:26" x14ac:dyDescent="0.25">
      <c r="B7" s="112" t="s">
        <v>63</v>
      </c>
      <c r="C7" s="112"/>
      <c r="D7" s="112"/>
      <c r="E7" s="112"/>
      <c r="F7" s="78">
        <v>4</v>
      </c>
      <c r="G7" s="113" t="s">
        <v>60</v>
      </c>
      <c r="H7" s="113"/>
      <c r="I7" s="113"/>
      <c r="J7" s="113"/>
      <c r="K7" s="83">
        <v>7</v>
      </c>
      <c r="O7"/>
      <c r="P7"/>
      <c r="Q7"/>
    </row>
    <row r="8" spans="1:26" x14ac:dyDescent="0.25">
      <c r="B8" s="112" t="s">
        <v>102</v>
      </c>
      <c r="C8" s="112"/>
      <c r="D8" s="112"/>
      <c r="E8" s="112"/>
      <c r="F8" s="61">
        <f>Παραγωγές!C20</f>
        <v>1646.25</v>
      </c>
      <c r="G8" s="113" t="s">
        <v>62</v>
      </c>
      <c r="H8" s="113"/>
      <c r="I8" s="113"/>
      <c r="J8" s="113"/>
      <c r="K8" s="83">
        <v>15</v>
      </c>
      <c r="O8"/>
      <c r="P8"/>
      <c r="Q8"/>
    </row>
    <row r="9" spans="1:26" x14ac:dyDescent="0.25">
      <c r="F9" s="58"/>
      <c r="O9"/>
      <c r="P9"/>
      <c r="Q9"/>
    </row>
    <row r="10" spans="1:26" ht="27" customHeight="1" x14ac:dyDescent="0.25">
      <c r="C10" s="114" t="s">
        <v>97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97"/>
      <c r="S10" s="124" t="s">
        <v>108</v>
      </c>
      <c r="T10" s="124"/>
      <c r="W10" s="124" t="s">
        <v>70</v>
      </c>
      <c r="X10" s="124"/>
      <c r="Y10" s="124" t="s">
        <v>103</v>
      </c>
      <c r="Z10" s="124"/>
    </row>
    <row r="11" spans="1:26" ht="100.5" customHeight="1" x14ac:dyDescent="0.25">
      <c r="A11" s="18"/>
      <c r="B11" s="29" t="s">
        <v>40</v>
      </c>
      <c r="C11" s="53" t="s">
        <v>58</v>
      </c>
      <c r="D11" s="29" t="s">
        <v>52</v>
      </c>
      <c r="E11" s="29" t="s">
        <v>53</v>
      </c>
      <c r="F11" s="49" t="s">
        <v>44</v>
      </c>
      <c r="G11" s="49" t="s">
        <v>46</v>
      </c>
      <c r="H11" s="49" t="s">
        <v>47</v>
      </c>
      <c r="I11" s="49" t="s">
        <v>48</v>
      </c>
      <c r="J11" s="49" t="s">
        <v>41</v>
      </c>
      <c r="K11" s="49" t="s">
        <v>54</v>
      </c>
      <c r="L11" s="49" t="s">
        <v>55</v>
      </c>
      <c r="M11" s="49" t="s">
        <v>56</v>
      </c>
      <c r="N11" s="49" t="s">
        <v>57</v>
      </c>
      <c r="O11" s="98" t="s">
        <v>51</v>
      </c>
      <c r="P11" s="99" t="s">
        <v>43</v>
      </c>
      <c r="Q11" s="99" t="s">
        <v>49</v>
      </c>
      <c r="R11" s="99" t="s">
        <v>50</v>
      </c>
      <c r="S11" s="100" t="s">
        <v>64</v>
      </c>
      <c r="T11" s="100" t="s">
        <v>65</v>
      </c>
      <c r="U11" s="26">
        <f>O12</f>
        <v>-375500</v>
      </c>
      <c r="V11" s="26">
        <f>R12</f>
        <v>-312140</v>
      </c>
      <c r="W11" s="100" t="s">
        <v>64</v>
      </c>
      <c r="X11" s="100" t="s">
        <v>65</v>
      </c>
      <c r="Y11" s="100" t="s">
        <v>64</v>
      </c>
      <c r="Z11" s="100" t="s">
        <v>65</v>
      </c>
    </row>
    <row r="12" spans="1:26" collapsed="1" x14ac:dyDescent="0.25">
      <c r="A12" s="32" t="str">
        <f>Ταρίφες!A10</f>
        <v>Α Τριμ. 2010</v>
      </c>
      <c r="B12" s="38">
        <f>1</f>
        <v>1</v>
      </c>
      <c r="C12" s="54">
        <f>$F$8*$K$2/1000</f>
        <v>131.69999999999999</v>
      </c>
      <c r="D12" s="33">
        <f>C12*VLOOKUP($A$12,Ταρίφες!$A$6:$G$23,$K$6,FALSE)*(1+$F$3)^(B12-1)</f>
        <v>67167</v>
      </c>
      <c r="E12" s="33">
        <f>C12*VLOOKUP($A$12,Ταρίφες!$A$6:$G$23,$K$7,FALSE)*(1+$F$3)^(B12-1)</f>
        <v>61240.499999999993</v>
      </c>
      <c r="F12" s="46">
        <f t="shared" ref="F12:F31" si="0">-($K$5*(1+$F$4)^(B12-$B$12))</f>
        <v>-2000</v>
      </c>
      <c r="G12" s="47">
        <f t="shared" ref="G12:G31" si="1">-$K$2*10*(1+$F$4)^(B12-$B$12)</f>
        <v>-800</v>
      </c>
      <c r="H12" s="47">
        <f t="shared" ref="H12:H31" si="2">-$K$4*(1+$F$4)^(B12-$B$12)</f>
        <v>-2800</v>
      </c>
      <c r="I12" s="46">
        <f>-(4500*(1+$F$4)^(B12-$B$12))</f>
        <v>-4500</v>
      </c>
      <c r="J12" s="47">
        <f t="shared" ref="J12:J31" si="3">$O$12*4%</f>
        <v>-15020</v>
      </c>
      <c r="K12" s="47">
        <f>-(D12+SUM(F12:J12))*$F$5</f>
        <v>-10932.220000000001</v>
      </c>
      <c r="L12" s="47">
        <f>-(E12+SUM(F12:J12))*$F$5</f>
        <v>-9391.3299999999981</v>
      </c>
      <c r="M12" s="47">
        <f>D12+SUM(F12:I12)+K12</f>
        <v>46134.78</v>
      </c>
      <c r="N12" s="47">
        <f>E12+SUM(F12:I12)+L12</f>
        <v>41749.17</v>
      </c>
      <c r="O12" s="35">
        <f>-VLOOKUP(A12,'Κόστος Κατασκευής'!$A$4:$Q$17,$K$8,FALSE)</f>
        <v>-375500</v>
      </c>
      <c r="P12" s="36">
        <f>$K$3</f>
        <v>96000</v>
      </c>
      <c r="Q12" s="36">
        <f>-P12*$F$7*$F$6</f>
        <v>-32640.000000000004</v>
      </c>
      <c r="R12" s="37">
        <f>SUM(O12:Q12)</f>
        <v>-312140</v>
      </c>
      <c r="S12" s="42">
        <f>IRR(U11:U31)</f>
        <v>9.2442426757382457E-2</v>
      </c>
      <c r="T12" s="42">
        <f>IRR(V11:V31)</f>
        <v>0.10506386039539173</v>
      </c>
      <c r="U12" s="101">
        <f>M12</f>
        <v>46134.78</v>
      </c>
      <c r="V12" s="102">
        <f>N12</f>
        <v>41749.17</v>
      </c>
      <c r="W12" s="42">
        <f>'IRR ΔΣ Ισχύον'!S12</f>
        <v>9.5305251883307296E-2</v>
      </c>
      <c r="X12" s="42">
        <f>'IRR ΔΣ Ισχύον'!T12</f>
        <v>0.10445828229032617</v>
      </c>
      <c r="Y12" s="42">
        <f>S12-W12</f>
        <v>-2.8628251259248394E-3</v>
      </c>
      <c r="Z12" s="42">
        <f>T12-X12</f>
        <v>6.0557810506556287E-4</v>
      </c>
    </row>
    <row r="13" spans="1:26" hidden="1" outlineLevel="1" x14ac:dyDescent="0.25">
      <c r="A13" s="18"/>
      <c r="B13" s="38">
        <f t="shared" ref="B13:B52" si="4">B12+1</f>
        <v>2</v>
      </c>
      <c r="C13" s="54">
        <f t="shared" ref="C13:C31" si="5">C12*(1-$F$2)</f>
        <v>130.38299999999998</v>
      </c>
      <c r="D13" s="33">
        <f>C13*VLOOKUP($A$12,Ταρίφες!$A$6:$G$23,$K$6,FALSE)*(1+$F$3)^(B13-1)</f>
        <v>66495.329999999987</v>
      </c>
      <c r="E13" s="33">
        <f>C13*VLOOKUP($A$12,Ταρίφες!$A$6:$G$23,$K$7,FALSE)*(1+$F$3)^(B13-1)</f>
        <v>60628.094999999994</v>
      </c>
      <c r="F13" s="46">
        <f t="shared" si="0"/>
        <v>-2040</v>
      </c>
      <c r="G13" s="47">
        <f t="shared" si="1"/>
        <v>-816</v>
      </c>
      <c r="H13" s="47">
        <f t="shared" si="2"/>
        <v>-2856</v>
      </c>
      <c r="I13" s="46">
        <f t="shared" ref="I13:I31" si="6">-(4500*(1+$F$4)^(B13-$B$12))</f>
        <v>-4590</v>
      </c>
      <c r="J13" s="47">
        <f t="shared" si="3"/>
        <v>-15020</v>
      </c>
      <c r="K13" s="47">
        <f t="shared" ref="K13:K31" si="7">-(D13+SUM(F13:J13))*$F$5</f>
        <v>-10705.065799999997</v>
      </c>
      <c r="L13" s="47">
        <f t="shared" ref="L13:L31" si="8">-(E13+SUM(F13:J13))*$F$5</f>
        <v>-9179.5846999999994</v>
      </c>
      <c r="M13" s="47">
        <f t="shared" ref="M13:M31" si="9">D13+SUM(F13:I13)+K13</f>
        <v>45488.264199999991</v>
      </c>
      <c r="N13" s="47">
        <f t="shared" ref="N13:N31" si="10">E13+SUM(F13:I13)+L13</f>
        <v>41146.510299999994</v>
      </c>
      <c r="O13" s="17"/>
      <c r="P13" s="25"/>
      <c r="Q13" s="25"/>
      <c r="R13" s="22"/>
      <c r="S13" s="52"/>
      <c r="T13" s="44"/>
      <c r="U13" s="72">
        <f t="shared" ref="U13:V30" si="11">M13</f>
        <v>45488.264199999991</v>
      </c>
      <c r="V13" s="73">
        <f t="shared" si="11"/>
        <v>41146.510299999994</v>
      </c>
      <c r="W13" s="52"/>
      <c r="X13" s="44"/>
      <c r="Y13" s="5"/>
      <c r="Z13"/>
    </row>
    <row r="14" spans="1:26" hidden="1" outlineLevel="1" x14ac:dyDescent="0.25">
      <c r="A14" s="18"/>
      <c r="B14" s="38">
        <f t="shared" si="4"/>
        <v>3</v>
      </c>
      <c r="C14" s="54">
        <f t="shared" si="5"/>
        <v>129.07916999999998</v>
      </c>
      <c r="D14" s="33">
        <f>C14*VLOOKUP($A$12,Ταρίφες!$A$6:$G$23,$K$6,FALSE)*(1+$F$3)^(B14-1)</f>
        <v>65830.376699999993</v>
      </c>
      <c r="E14" s="33">
        <f>C14*VLOOKUP($A$12,Ταρίφες!$A$6:$G$23,$K$7,FALSE)*(1+$F$3)^(B14-1)</f>
        <v>60021.814049999986</v>
      </c>
      <c r="F14" s="46">
        <f t="shared" si="0"/>
        <v>-2080.8000000000002</v>
      </c>
      <c r="G14" s="47">
        <f t="shared" si="1"/>
        <v>-832.31999999999994</v>
      </c>
      <c r="H14" s="47">
        <f t="shared" si="2"/>
        <v>-2913.12</v>
      </c>
      <c r="I14" s="46">
        <f t="shared" si="6"/>
        <v>-4681.8</v>
      </c>
      <c r="J14" s="47">
        <f t="shared" si="3"/>
        <v>-15020</v>
      </c>
      <c r="K14" s="47">
        <f t="shared" si="7"/>
        <v>-10478.607541999998</v>
      </c>
      <c r="L14" s="47">
        <f t="shared" si="8"/>
        <v>-8968.3812529999959</v>
      </c>
      <c r="M14" s="47">
        <f t="shared" si="9"/>
        <v>44843.729157999995</v>
      </c>
      <c r="N14" s="47">
        <f t="shared" si="10"/>
        <v>40545.392796999993</v>
      </c>
      <c r="O14" s="17"/>
      <c r="P14" s="25"/>
      <c r="Q14" s="25"/>
      <c r="R14" s="22"/>
      <c r="S14" s="52"/>
      <c r="T14" s="44"/>
      <c r="U14" s="72">
        <f t="shared" si="11"/>
        <v>44843.729157999995</v>
      </c>
      <c r="V14" s="73">
        <f t="shared" si="11"/>
        <v>40545.392796999993</v>
      </c>
      <c r="W14" s="52"/>
      <c r="X14" s="44"/>
      <c r="Y14" s="5"/>
      <c r="Z14"/>
    </row>
    <row r="15" spans="1:26" hidden="1" outlineLevel="1" x14ac:dyDescent="0.25">
      <c r="A15" s="18"/>
      <c r="B15" s="38">
        <f t="shared" si="4"/>
        <v>4</v>
      </c>
      <c r="C15" s="54">
        <f t="shared" si="5"/>
        <v>127.78837829999998</v>
      </c>
      <c r="D15" s="33">
        <f>C15*VLOOKUP($A$12,Ταρίφες!$A$6:$G$23,$K$6,FALSE)*(1+$F$3)^(B15-1)</f>
        <v>65172.072932999989</v>
      </c>
      <c r="E15" s="33">
        <f>C15*VLOOKUP($A$12,Ταρίφες!$A$6:$G$23,$K$7,FALSE)*(1+$F$3)^(B15-1)</f>
        <v>59421.595909499993</v>
      </c>
      <c r="F15" s="46">
        <f t="shared" si="0"/>
        <v>-2122.4159999999997</v>
      </c>
      <c r="G15" s="47">
        <f t="shared" si="1"/>
        <v>-848.96639999999991</v>
      </c>
      <c r="H15" s="47">
        <f t="shared" si="2"/>
        <v>-2971.3824</v>
      </c>
      <c r="I15" s="46">
        <f t="shared" si="6"/>
        <v>-4775.4359999999997</v>
      </c>
      <c r="J15" s="47">
        <f t="shared" si="3"/>
        <v>-15020</v>
      </c>
      <c r="K15" s="47">
        <f t="shared" si="7"/>
        <v>-10252.806754579999</v>
      </c>
      <c r="L15" s="47">
        <f t="shared" si="8"/>
        <v>-8757.6827284699993</v>
      </c>
      <c r="M15" s="47">
        <f t="shared" si="9"/>
        <v>44201.065378419989</v>
      </c>
      <c r="N15" s="47">
        <f t="shared" si="10"/>
        <v>39945.712381029996</v>
      </c>
      <c r="O15" s="17"/>
      <c r="P15" s="25"/>
      <c r="Q15" s="25"/>
      <c r="R15" s="22"/>
      <c r="S15" s="52"/>
      <c r="T15" s="44"/>
      <c r="U15" s="72">
        <f t="shared" si="11"/>
        <v>44201.065378419989</v>
      </c>
      <c r="V15" s="73">
        <f t="shared" si="11"/>
        <v>39945.712381029996</v>
      </c>
      <c r="W15" s="52"/>
      <c r="X15" s="44"/>
      <c r="Y15" s="5"/>
      <c r="Z15"/>
    </row>
    <row r="16" spans="1:26" hidden="1" outlineLevel="1" x14ac:dyDescent="0.25">
      <c r="A16" s="18"/>
      <c r="B16" s="38">
        <f t="shared" si="4"/>
        <v>5</v>
      </c>
      <c r="C16" s="54">
        <f t="shared" si="5"/>
        <v>126.51049451699997</v>
      </c>
      <c r="D16" s="33">
        <f>C16*VLOOKUP($A$12,Ταρίφες!$A$6:$G$23,$K$6,FALSE)*(1+$F$3)^(B16-1)</f>
        <v>64520.352203669987</v>
      </c>
      <c r="E16" s="33">
        <f>C16*VLOOKUP($A$12,Ταρίφες!$A$6:$G$23,$K$7,FALSE)*(1+$F$3)^(B16-1)</f>
        <v>58827.379950404989</v>
      </c>
      <c r="F16" s="46">
        <f t="shared" si="0"/>
        <v>-2164.8643200000001</v>
      </c>
      <c r="G16" s="47">
        <f t="shared" si="1"/>
        <v>-865.94572800000003</v>
      </c>
      <c r="H16" s="47">
        <f t="shared" si="2"/>
        <v>-3030.8100479999998</v>
      </c>
      <c r="I16" s="46">
        <f t="shared" si="6"/>
        <v>-4870.9447199999995</v>
      </c>
      <c r="J16" s="47">
        <f t="shared" si="3"/>
        <v>-15020</v>
      </c>
      <c r="K16" s="47">
        <f t="shared" si="7"/>
        <v>-10027.624720794198</v>
      </c>
      <c r="L16" s="47">
        <f t="shared" si="8"/>
        <v>-8547.4519349452985</v>
      </c>
      <c r="M16" s="47">
        <f t="shared" si="9"/>
        <v>43560.162666875789</v>
      </c>
      <c r="N16" s="47">
        <f t="shared" si="10"/>
        <v>39347.363199459694</v>
      </c>
      <c r="O16" s="17"/>
      <c r="P16" s="25"/>
      <c r="Q16" s="25"/>
      <c r="R16" s="22"/>
      <c r="S16" s="52"/>
      <c r="T16" s="44"/>
      <c r="U16" s="72">
        <f t="shared" si="11"/>
        <v>43560.162666875789</v>
      </c>
      <c r="V16" s="73">
        <f t="shared" si="11"/>
        <v>39347.363199459694</v>
      </c>
      <c r="W16" s="52"/>
      <c r="X16" s="44"/>
      <c r="Y16" s="5"/>
      <c r="Z16"/>
    </row>
    <row r="17" spans="1:26" hidden="1" outlineLevel="1" x14ac:dyDescent="0.25">
      <c r="A17" s="18"/>
      <c r="B17" s="38">
        <f t="shared" si="4"/>
        <v>6</v>
      </c>
      <c r="C17" s="54">
        <f t="shared" si="5"/>
        <v>125.24538957182997</v>
      </c>
      <c r="D17" s="33">
        <f>C17*VLOOKUP($A$12,Ταρίφες!$A$6:$G$23,$K$6,FALSE)*(1+$F$3)^(B17-1)</f>
        <v>63875.148681633284</v>
      </c>
      <c r="E17" s="33">
        <f>C17*VLOOKUP($A$12,Ταρίφες!$A$6:$G$23,$K$7,FALSE)*(1+$F$3)^(B17-1)</f>
        <v>58239.106150900938</v>
      </c>
      <c r="F17" s="46">
        <f t="shared" si="0"/>
        <v>-2208.1616064</v>
      </c>
      <c r="G17" s="47">
        <f t="shared" si="1"/>
        <v>-883.26464255999997</v>
      </c>
      <c r="H17" s="47">
        <f t="shared" si="2"/>
        <v>-3091.4262489600001</v>
      </c>
      <c r="I17" s="46">
        <f t="shared" si="6"/>
        <v>-4968.3636144000002</v>
      </c>
      <c r="J17" s="47">
        <f t="shared" si="3"/>
        <v>-15020</v>
      </c>
      <c r="K17" s="47">
        <f t="shared" si="7"/>
        <v>-9803.0224680214542</v>
      </c>
      <c r="L17" s="47">
        <f t="shared" si="8"/>
        <v>-8337.6514100310451</v>
      </c>
      <c r="M17" s="47">
        <f t="shared" si="9"/>
        <v>42920.910101291833</v>
      </c>
      <c r="N17" s="47">
        <f t="shared" si="10"/>
        <v>38750.238628549894</v>
      </c>
      <c r="O17" s="17"/>
      <c r="P17" s="25"/>
      <c r="Q17" s="25"/>
      <c r="R17" s="22"/>
      <c r="S17" s="52"/>
      <c r="T17" s="44"/>
      <c r="U17" s="72">
        <f t="shared" si="11"/>
        <v>42920.910101291833</v>
      </c>
      <c r="V17" s="73">
        <f t="shared" si="11"/>
        <v>38750.238628549894</v>
      </c>
      <c r="W17" s="52"/>
      <c r="X17" s="44"/>
      <c r="Y17" s="5"/>
      <c r="Z17"/>
    </row>
    <row r="18" spans="1:26" hidden="1" outlineLevel="1" x14ac:dyDescent="0.25">
      <c r="A18" s="18"/>
      <c r="B18" s="38">
        <f t="shared" si="4"/>
        <v>7</v>
      </c>
      <c r="C18" s="54">
        <f t="shared" si="5"/>
        <v>123.99293567611167</v>
      </c>
      <c r="D18" s="33">
        <f>C18*VLOOKUP($A$12,Ταρίφες!$A$6:$G$23,$K$6,FALSE)*(1+$F$3)^(B18-1)</f>
        <v>63236.397194816949</v>
      </c>
      <c r="E18" s="33">
        <f>C18*VLOOKUP($A$12,Ταρίφες!$A$6:$G$23,$K$7,FALSE)*(1+$F$3)^(B18-1)</f>
        <v>57656.715089391924</v>
      </c>
      <c r="F18" s="46">
        <f t="shared" si="0"/>
        <v>-2252.3248385280003</v>
      </c>
      <c r="G18" s="47">
        <f t="shared" si="1"/>
        <v>-900.92993541120006</v>
      </c>
      <c r="H18" s="47">
        <f t="shared" si="2"/>
        <v>-3153.2547739392003</v>
      </c>
      <c r="I18" s="46">
        <f t="shared" si="6"/>
        <v>-5067.7308866880003</v>
      </c>
      <c r="J18" s="47">
        <f t="shared" si="3"/>
        <v>-15020</v>
      </c>
      <c r="K18" s="47">
        <f t="shared" si="7"/>
        <v>-9578.9607576651433</v>
      </c>
      <c r="L18" s="47">
        <f t="shared" si="8"/>
        <v>-8128.2434102546367</v>
      </c>
      <c r="M18" s="47">
        <f t="shared" si="9"/>
        <v>42283.196002585406</v>
      </c>
      <c r="N18" s="47">
        <f t="shared" si="10"/>
        <v>38154.231244570881</v>
      </c>
      <c r="O18" s="17"/>
      <c r="P18" s="25"/>
      <c r="Q18" s="25"/>
      <c r="R18" s="22"/>
      <c r="S18" s="52"/>
      <c r="T18" s="44"/>
      <c r="U18" s="72">
        <f t="shared" si="11"/>
        <v>42283.196002585406</v>
      </c>
      <c r="V18" s="73">
        <f t="shared" si="11"/>
        <v>38154.231244570881</v>
      </c>
      <c r="W18" s="52"/>
      <c r="X18" s="44"/>
      <c r="Y18" s="5"/>
      <c r="Z18"/>
    </row>
    <row r="19" spans="1:26" hidden="1" outlineLevel="1" x14ac:dyDescent="0.25">
      <c r="A19" s="18"/>
      <c r="B19" s="38">
        <f t="shared" si="4"/>
        <v>8</v>
      </c>
      <c r="C19" s="54">
        <f t="shared" si="5"/>
        <v>122.75300631935055</v>
      </c>
      <c r="D19" s="33">
        <f>C19*VLOOKUP($A$12,Ταρίφες!$A$6:$G$23,$K$6,FALSE)*(1+$F$3)^(B19-1)</f>
        <v>62604.033222868777</v>
      </c>
      <c r="E19" s="33">
        <f>C19*VLOOKUP($A$12,Ταρίφες!$A$6:$G$23,$K$7,FALSE)*(1+$F$3)^(B19-1)</f>
        <v>57080.147938498005</v>
      </c>
      <c r="F19" s="46">
        <f t="shared" si="0"/>
        <v>-2297.3713352985596</v>
      </c>
      <c r="G19" s="47">
        <f t="shared" si="1"/>
        <v>-918.94853411942381</v>
      </c>
      <c r="H19" s="47">
        <f t="shared" si="2"/>
        <v>-3216.3198694179837</v>
      </c>
      <c r="I19" s="46">
        <f t="shared" si="6"/>
        <v>-5169.0855044217587</v>
      </c>
      <c r="J19" s="47">
        <f t="shared" si="3"/>
        <v>-15020</v>
      </c>
      <c r="K19" s="47">
        <f t="shared" si="7"/>
        <v>-9355.400074698875</v>
      </c>
      <c r="L19" s="47">
        <f t="shared" si="8"/>
        <v>-7919.1899007624725</v>
      </c>
      <c r="M19" s="47">
        <f t="shared" si="9"/>
        <v>41646.907904912179</v>
      </c>
      <c r="N19" s="47">
        <f t="shared" si="10"/>
        <v>37559.232794477808</v>
      </c>
      <c r="O19" s="17"/>
      <c r="P19" s="25"/>
      <c r="Q19" s="25"/>
      <c r="R19" s="22"/>
      <c r="S19" s="52"/>
      <c r="T19" s="44"/>
      <c r="U19" s="72">
        <f t="shared" si="11"/>
        <v>41646.907904912179</v>
      </c>
      <c r="V19" s="73">
        <f t="shared" si="11"/>
        <v>37559.232794477808</v>
      </c>
      <c r="W19" s="52"/>
      <c r="X19" s="44"/>
      <c r="Y19" s="5"/>
      <c r="Z19"/>
    </row>
    <row r="20" spans="1:26" hidden="1" outlineLevel="1" x14ac:dyDescent="0.25">
      <c r="A20" s="18"/>
      <c r="B20" s="38">
        <f t="shared" si="4"/>
        <v>9</v>
      </c>
      <c r="C20" s="54">
        <f t="shared" si="5"/>
        <v>121.52547625615703</v>
      </c>
      <c r="D20" s="33">
        <f>C20*VLOOKUP($A$12,Ταρίφες!$A$6:$G$23,$K$6,FALSE)*(1+$F$3)^(B20-1)</f>
        <v>61977.992890640089</v>
      </c>
      <c r="E20" s="33">
        <f>C20*VLOOKUP($A$12,Ταρίφες!$A$6:$G$23,$K$7,FALSE)*(1+$F$3)^(B20-1)</f>
        <v>56509.346459113018</v>
      </c>
      <c r="F20" s="46">
        <f t="shared" si="0"/>
        <v>-2343.318762004531</v>
      </c>
      <c r="G20" s="47">
        <f t="shared" si="1"/>
        <v>-937.32750480181244</v>
      </c>
      <c r="H20" s="47">
        <f t="shared" si="2"/>
        <v>-3280.6462668063436</v>
      </c>
      <c r="I20" s="46">
        <f t="shared" si="6"/>
        <v>-5272.4672145101949</v>
      </c>
      <c r="J20" s="47">
        <f t="shared" si="3"/>
        <v>-15020</v>
      </c>
      <c r="K20" s="47">
        <f t="shared" si="7"/>
        <v>-9132.3006170544741</v>
      </c>
      <c r="L20" s="47">
        <f t="shared" si="8"/>
        <v>-7710.4525448574359</v>
      </c>
      <c r="M20" s="47">
        <f t="shared" si="9"/>
        <v>41011.932525462733</v>
      </c>
      <c r="N20" s="47">
        <f t="shared" si="10"/>
        <v>36965.134166132702</v>
      </c>
      <c r="O20" s="17"/>
      <c r="P20" s="25"/>
      <c r="Q20" s="25"/>
      <c r="R20" s="22"/>
      <c r="S20" s="52"/>
      <c r="T20" s="44"/>
      <c r="U20" s="72">
        <f t="shared" si="11"/>
        <v>41011.932525462733</v>
      </c>
      <c r="V20" s="73">
        <f t="shared" si="11"/>
        <v>36965.134166132702</v>
      </c>
      <c r="W20" s="52"/>
      <c r="X20" s="44"/>
      <c r="Y20" s="5"/>
      <c r="Z20"/>
    </row>
    <row r="21" spans="1:26" hidden="1" outlineLevel="1" x14ac:dyDescent="0.25">
      <c r="A21" s="18"/>
      <c r="B21" s="38">
        <f t="shared" si="4"/>
        <v>10</v>
      </c>
      <c r="C21" s="54">
        <f t="shared" si="5"/>
        <v>120.31022149359546</v>
      </c>
      <c r="D21" s="33">
        <f>C21*VLOOKUP($A$12,Ταρίφες!$A$6:$G$23,$K$6,FALSE)*(1+$F$3)^(B21-1)</f>
        <v>61358.212961733683</v>
      </c>
      <c r="E21" s="33">
        <f>C21*VLOOKUP($A$12,Ταρίφες!$A$6:$G$23,$K$7,FALSE)*(1+$F$3)^(B21-1)</f>
        <v>55944.252994521892</v>
      </c>
      <c r="F21" s="46">
        <f t="shared" si="0"/>
        <v>-2390.1851372446217</v>
      </c>
      <c r="G21" s="47">
        <f t="shared" si="1"/>
        <v>-956.07405489784867</v>
      </c>
      <c r="H21" s="47">
        <f t="shared" si="2"/>
        <v>-3346.2591921424705</v>
      </c>
      <c r="I21" s="46">
        <f t="shared" si="6"/>
        <v>-5377.9165588003989</v>
      </c>
      <c r="J21" s="47">
        <f t="shared" si="3"/>
        <v>-15020</v>
      </c>
      <c r="K21" s="47">
        <f t="shared" si="7"/>
        <v>-8909.6222848485704</v>
      </c>
      <c r="L21" s="47">
        <f t="shared" si="8"/>
        <v>-7501.9926933735042</v>
      </c>
      <c r="M21" s="47">
        <f t="shared" si="9"/>
        <v>40378.155733799773</v>
      </c>
      <c r="N21" s="47">
        <f t="shared" si="10"/>
        <v>36371.825358063048</v>
      </c>
      <c r="O21" s="17"/>
      <c r="P21" s="25"/>
      <c r="Q21" s="25"/>
      <c r="R21" s="22"/>
      <c r="S21" s="52"/>
      <c r="T21" s="44"/>
      <c r="U21" s="72">
        <f t="shared" si="11"/>
        <v>40378.155733799773</v>
      </c>
      <c r="V21" s="73">
        <f t="shared" si="11"/>
        <v>36371.825358063048</v>
      </c>
      <c r="W21" s="52"/>
      <c r="X21" s="44"/>
      <c r="Y21" s="5"/>
      <c r="Z21"/>
    </row>
    <row r="22" spans="1:26" hidden="1" outlineLevel="1" x14ac:dyDescent="0.25">
      <c r="A22" s="18"/>
      <c r="B22" s="38">
        <f t="shared" si="4"/>
        <v>11</v>
      </c>
      <c r="C22" s="54">
        <f t="shared" si="5"/>
        <v>119.10711927865951</v>
      </c>
      <c r="D22" s="33">
        <f>C22*VLOOKUP($A$12,Ταρίφες!$A$6:$G$23,$K$6,FALSE)*(1+$F$3)^(B22-1)</f>
        <v>60744.630832116352</v>
      </c>
      <c r="E22" s="33">
        <f>C22*VLOOKUP($A$12,Ταρίφες!$A$6:$G$23,$K$7,FALSE)*(1+$F$3)^(B22-1)</f>
        <v>55384.810464576673</v>
      </c>
      <c r="F22" s="46">
        <f t="shared" si="0"/>
        <v>-2437.9888399895144</v>
      </c>
      <c r="G22" s="47">
        <f t="shared" si="1"/>
        <v>-975.1955359958057</v>
      </c>
      <c r="H22" s="47">
        <f t="shared" si="2"/>
        <v>-3413.18437598532</v>
      </c>
      <c r="I22" s="46">
        <f t="shared" si="6"/>
        <v>-5485.4748899764072</v>
      </c>
      <c r="J22" s="47">
        <f t="shared" si="3"/>
        <v>-15020</v>
      </c>
      <c r="K22" s="47">
        <f t="shared" si="7"/>
        <v>-8687.3246694440204</v>
      </c>
      <c r="L22" s="47">
        <f t="shared" si="8"/>
        <v>-7293.7713738837037</v>
      </c>
      <c r="M22" s="47">
        <f t="shared" si="9"/>
        <v>39745.462520725283</v>
      </c>
      <c r="N22" s="47">
        <f t="shared" si="10"/>
        <v>35779.195448745922</v>
      </c>
      <c r="O22" s="17"/>
      <c r="P22" s="25"/>
      <c r="Q22" s="25"/>
      <c r="R22" s="22"/>
      <c r="S22" s="52"/>
      <c r="T22" s="44"/>
      <c r="U22" s="72">
        <f t="shared" si="11"/>
        <v>39745.462520725283</v>
      </c>
      <c r="V22" s="73">
        <f t="shared" si="11"/>
        <v>35779.195448745922</v>
      </c>
      <c r="W22" s="52"/>
      <c r="X22" s="44"/>
      <c r="Y22" s="5"/>
      <c r="Z22"/>
    </row>
    <row r="23" spans="1:26" hidden="1" outlineLevel="1" x14ac:dyDescent="0.25">
      <c r="A23" s="18"/>
      <c r="B23" s="38">
        <f t="shared" si="4"/>
        <v>12</v>
      </c>
      <c r="C23" s="54">
        <f t="shared" si="5"/>
        <v>117.91604808587292</v>
      </c>
      <c r="D23" s="33">
        <f>C23*VLOOKUP($A$12,Ταρίφες!$A$6:$G$23,$K$6,FALSE)*(1+$F$3)^(B23-1)</f>
        <v>60137.184523795186</v>
      </c>
      <c r="E23" s="33">
        <f>C23*VLOOKUP($A$12,Ταρίφες!$A$6:$G$23,$K$7,FALSE)*(1+$F$3)^(B23-1)</f>
        <v>54830.962359930905</v>
      </c>
      <c r="F23" s="46">
        <f t="shared" si="0"/>
        <v>-2486.7486167893039</v>
      </c>
      <c r="G23" s="47">
        <f t="shared" si="1"/>
        <v>-994.69944671572159</v>
      </c>
      <c r="H23" s="47">
        <f t="shared" si="2"/>
        <v>-3481.4480635050259</v>
      </c>
      <c r="I23" s="46">
        <f t="shared" si="6"/>
        <v>-5595.1843877759338</v>
      </c>
      <c r="J23" s="47">
        <f t="shared" si="3"/>
        <v>-15020</v>
      </c>
      <c r="K23" s="47">
        <f t="shared" si="7"/>
        <v>-8465.3670423423919</v>
      </c>
      <c r="L23" s="47">
        <f t="shared" si="8"/>
        <v>-7085.749279737679</v>
      </c>
      <c r="M23" s="47">
        <f t="shared" si="9"/>
        <v>39113.736966666809</v>
      </c>
      <c r="N23" s="47">
        <f t="shared" si="10"/>
        <v>35187.132565407243</v>
      </c>
      <c r="O23" s="17"/>
      <c r="P23" s="25"/>
      <c r="Q23" s="25"/>
      <c r="R23" s="22"/>
      <c r="S23" s="52"/>
      <c r="T23" s="44"/>
      <c r="U23" s="72">
        <f t="shared" si="11"/>
        <v>39113.736966666809</v>
      </c>
      <c r="V23" s="73">
        <f t="shared" si="11"/>
        <v>35187.132565407243</v>
      </c>
      <c r="W23" s="52"/>
      <c r="X23" s="44"/>
      <c r="Y23" s="5"/>
      <c r="Z23"/>
    </row>
    <row r="24" spans="1:26" hidden="1" outlineLevel="1" x14ac:dyDescent="0.25">
      <c r="A24" s="18"/>
      <c r="B24" s="38">
        <f t="shared" si="4"/>
        <v>13</v>
      </c>
      <c r="C24" s="54">
        <f t="shared" si="5"/>
        <v>116.73688760501419</v>
      </c>
      <c r="D24" s="33">
        <f>C24*VLOOKUP($A$12,Ταρίφες!$A$6:$G$23,$K$6,FALSE)*(1+$F$3)^(B24-1)</f>
        <v>59535.812678557239</v>
      </c>
      <c r="E24" s="33">
        <f>C24*VLOOKUP($A$12,Ταρίφες!$A$6:$G$23,$K$7,FALSE)*(1+$F$3)^(B24-1)</f>
        <v>54282.652736331598</v>
      </c>
      <c r="F24" s="46">
        <f t="shared" si="0"/>
        <v>-2536.4835891250905</v>
      </c>
      <c r="G24" s="47">
        <f t="shared" si="1"/>
        <v>-1014.5934356500362</v>
      </c>
      <c r="H24" s="47">
        <f t="shared" si="2"/>
        <v>-3551.0770247751266</v>
      </c>
      <c r="I24" s="46">
        <f t="shared" si="6"/>
        <v>-5707.0880755314538</v>
      </c>
      <c r="J24" s="47">
        <f t="shared" si="3"/>
        <v>-15020</v>
      </c>
      <c r="K24" s="47">
        <f t="shared" si="7"/>
        <v>-8243.7083439036396</v>
      </c>
      <c r="L24" s="47">
        <f t="shared" si="8"/>
        <v>-6877.8867589249721</v>
      </c>
      <c r="M24" s="47">
        <f t="shared" si="9"/>
        <v>38482.862209571889</v>
      </c>
      <c r="N24" s="47">
        <f t="shared" si="10"/>
        <v>34595.523852324921</v>
      </c>
      <c r="O24" s="17"/>
      <c r="P24" s="25"/>
      <c r="Q24" s="25"/>
      <c r="R24" s="22"/>
      <c r="S24" s="52"/>
      <c r="T24" s="44"/>
      <c r="U24" s="72">
        <f t="shared" si="11"/>
        <v>38482.862209571889</v>
      </c>
      <c r="V24" s="73">
        <f t="shared" si="11"/>
        <v>34595.523852324921</v>
      </c>
      <c r="W24" s="52"/>
      <c r="X24" s="44"/>
      <c r="Y24" s="5"/>
      <c r="Z24"/>
    </row>
    <row r="25" spans="1:26" hidden="1" outlineLevel="1" x14ac:dyDescent="0.25">
      <c r="A25" s="18"/>
      <c r="B25" s="38">
        <f t="shared" si="4"/>
        <v>14</v>
      </c>
      <c r="C25" s="54">
        <f t="shared" si="5"/>
        <v>115.56951872896404</v>
      </c>
      <c r="D25" s="33">
        <f>C25*VLOOKUP($A$12,Ταρίφες!$A$6:$G$23,$K$6,FALSE)*(1+$F$3)^(B25-1)</f>
        <v>58940.454551771661</v>
      </c>
      <c r="E25" s="33">
        <f>C25*VLOOKUP($A$12,Ταρίφες!$A$6:$G$23,$K$7,FALSE)*(1+$F$3)^(B25-1)</f>
        <v>53739.826208968276</v>
      </c>
      <c r="F25" s="46">
        <f t="shared" si="0"/>
        <v>-2587.213260907592</v>
      </c>
      <c r="G25" s="47">
        <f t="shared" si="1"/>
        <v>-1034.8853043630368</v>
      </c>
      <c r="H25" s="47">
        <f t="shared" si="2"/>
        <v>-3622.098565270629</v>
      </c>
      <c r="I25" s="46">
        <f t="shared" si="6"/>
        <v>-5821.2298370420822</v>
      </c>
      <c r="J25" s="47">
        <f t="shared" si="3"/>
        <v>-15020</v>
      </c>
      <c r="K25" s="47">
        <f t="shared" si="7"/>
        <v>-8022.3071718889641</v>
      </c>
      <c r="L25" s="47">
        <f t="shared" si="8"/>
        <v>-6670.1438027600843</v>
      </c>
      <c r="M25" s="47">
        <f t="shared" si="9"/>
        <v>37852.720412299364</v>
      </c>
      <c r="N25" s="47">
        <f t="shared" si="10"/>
        <v>34004.255438624852</v>
      </c>
      <c r="O25" s="17"/>
      <c r="P25" s="25"/>
      <c r="Q25" s="25"/>
      <c r="R25" s="22"/>
      <c r="S25" s="52"/>
      <c r="T25" s="44"/>
      <c r="U25" s="72">
        <f t="shared" si="11"/>
        <v>37852.720412299364</v>
      </c>
      <c r="V25" s="73">
        <f t="shared" si="11"/>
        <v>34004.255438624852</v>
      </c>
      <c r="W25" s="52"/>
      <c r="X25" s="44"/>
      <c r="Y25" s="5"/>
      <c r="Z25"/>
    </row>
    <row r="26" spans="1:26" hidden="1" outlineLevel="1" x14ac:dyDescent="0.25">
      <c r="A26" s="18"/>
      <c r="B26" s="38">
        <f t="shared" si="4"/>
        <v>15</v>
      </c>
      <c r="C26" s="54">
        <f t="shared" si="5"/>
        <v>114.4138235416744</v>
      </c>
      <c r="D26" s="33">
        <f>C26*VLOOKUP($A$12,Ταρίφες!$A$6:$G$23,$K$6,FALSE)*(1+$F$3)^(B26-1)</f>
        <v>58351.050006253943</v>
      </c>
      <c r="E26" s="33">
        <f>C26*VLOOKUP($A$12,Ταρίφες!$A$6:$G$23,$K$7,FALSE)*(1+$F$3)^(B26-1)</f>
        <v>53202.427946878597</v>
      </c>
      <c r="F26" s="46">
        <f t="shared" si="0"/>
        <v>-2638.9575261257442</v>
      </c>
      <c r="G26" s="47">
        <f t="shared" si="1"/>
        <v>-1055.5830104502977</v>
      </c>
      <c r="H26" s="47">
        <f t="shared" si="2"/>
        <v>-3694.5405365760421</v>
      </c>
      <c r="I26" s="46">
        <f t="shared" si="6"/>
        <v>-5937.6544337829246</v>
      </c>
      <c r="J26" s="47">
        <f t="shared" si="3"/>
        <v>-15020</v>
      </c>
      <c r="K26" s="47">
        <f t="shared" si="7"/>
        <v>-7801.1217698229229</v>
      </c>
      <c r="L26" s="47">
        <f t="shared" si="8"/>
        <v>-6462.4800343853331</v>
      </c>
      <c r="M26" s="47">
        <f t="shared" si="9"/>
        <v>37223.192729496011</v>
      </c>
      <c r="N26" s="47">
        <f t="shared" si="10"/>
        <v>33413.212405558254</v>
      </c>
      <c r="O26" s="17"/>
      <c r="P26" s="25"/>
      <c r="Q26" s="25"/>
      <c r="R26" s="22"/>
      <c r="S26" s="52"/>
      <c r="T26" s="44"/>
      <c r="U26" s="72">
        <f t="shared" si="11"/>
        <v>37223.192729496011</v>
      </c>
      <c r="V26" s="73">
        <f t="shared" si="11"/>
        <v>33413.212405558254</v>
      </c>
      <c r="W26" s="52"/>
      <c r="X26" s="44"/>
      <c r="Y26" s="5"/>
      <c r="Z26"/>
    </row>
    <row r="27" spans="1:26" hidden="1" outlineLevel="1" x14ac:dyDescent="0.25">
      <c r="A27" s="18"/>
      <c r="B27" s="38">
        <f t="shared" si="4"/>
        <v>16</v>
      </c>
      <c r="C27" s="54">
        <f t="shared" si="5"/>
        <v>113.26968530625766</v>
      </c>
      <c r="D27" s="33">
        <f>C27*VLOOKUP($A$12,Ταρίφες!$A$6:$G$23,$K$6,FALSE)*(1+$F$3)^(B27-1)</f>
        <v>57767.539506191402</v>
      </c>
      <c r="E27" s="33">
        <f>C27*VLOOKUP($A$12,Ταρίφες!$A$6:$G$23,$K$7,FALSE)*(1+$F$3)^(B27-1)</f>
        <v>52670.40366740981</v>
      </c>
      <c r="F27" s="46">
        <f t="shared" si="0"/>
        <v>-2691.7366766482583</v>
      </c>
      <c r="G27" s="47">
        <f t="shared" si="1"/>
        <v>-1076.6946706593035</v>
      </c>
      <c r="H27" s="47">
        <f t="shared" si="2"/>
        <v>-3768.4313473075617</v>
      </c>
      <c r="I27" s="46">
        <f t="shared" si="6"/>
        <v>-6056.4075224585813</v>
      </c>
      <c r="J27" s="47">
        <f t="shared" si="3"/>
        <v>-15020</v>
      </c>
      <c r="K27" s="47">
        <f t="shared" si="7"/>
        <v>-7580.1100151706023</v>
      </c>
      <c r="L27" s="47">
        <f t="shared" si="8"/>
        <v>-6254.8546970873876</v>
      </c>
      <c r="M27" s="47">
        <f t="shared" si="9"/>
        <v>36594.159273947094</v>
      </c>
      <c r="N27" s="47">
        <f t="shared" si="10"/>
        <v>32822.27875324872</v>
      </c>
      <c r="O27" s="17"/>
      <c r="P27" s="25"/>
      <c r="Q27" s="25"/>
      <c r="R27" s="22"/>
      <c r="S27" s="52"/>
      <c r="T27" s="44"/>
      <c r="U27" s="72">
        <f t="shared" si="11"/>
        <v>36594.159273947094</v>
      </c>
      <c r="V27" s="73">
        <f t="shared" si="11"/>
        <v>32822.27875324872</v>
      </c>
      <c r="W27" s="52"/>
      <c r="X27" s="44"/>
      <c r="Y27" s="5"/>
      <c r="Z27"/>
    </row>
    <row r="28" spans="1:26" hidden="1" outlineLevel="1" x14ac:dyDescent="0.25">
      <c r="A28" s="18"/>
      <c r="B28" s="38">
        <f t="shared" si="4"/>
        <v>17</v>
      </c>
      <c r="C28" s="54">
        <f t="shared" si="5"/>
        <v>112.13698845319507</v>
      </c>
      <c r="D28" s="33">
        <f>C28*VLOOKUP($A$12,Ταρίφες!$A$6:$G$23,$K$6,FALSE)*(1+$F$3)^(B28-1)</f>
        <v>57189.864111129486</v>
      </c>
      <c r="E28" s="33">
        <f>C28*VLOOKUP($A$12,Ταρίφες!$A$6:$G$23,$K$7,FALSE)*(1+$F$3)^(B28-1)</f>
        <v>52143.699630735711</v>
      </c>
      <c r="F28" s="46">
        <f t="shared" si="0"/>
        <v>-2745.5714101812241</v>
      </c>
      <c r="G28" s="47">
        <f t="shared" si="1"/>
        <v>-1098.2285640724897</v>
      </c>
      <c r="H28" s="47">
        <f t="shared" si="2"/>
        <v>-3843.7999742537136</v>
      </c>
      <c r="I28" s="46">
        <f t="shared" si="6"/>
        <v>-6177.5356729077539</v>
      </c>
      <c r="J28" s="47">
        <f t="shared" si="3"/>
        <v>-15020</v>
      </c>
      <c r="K28" s="47">
        <f t="shared" si="7"/>
        <v>-7359.229407325719</v>
      </c>
      <c r="L28" s="47">
        <f t="shared" si="8"/>
        <v>-6047.2266424233376</v>
      </c>
      <c r="M28" s="47">
        <f t="shared" si="9"/>
        <v>35965.499082388582</v>
      </c>
      <c r="N28" s="47">
        <f t="shared" si="10"/>
        <v>32231.337366897191</v>
      </c>
      <c r="O28" s="17"/>
      <c r="P28" s="25"/>
      <c r="Q28" s="25"/>
      <c r="R28" s="22"/>
      <c r="S28" s="52"/>
      <c r="T28" s="44"/>
      <c r="U28" s="72">
        <f t="shared" si="11"/>
        <v>35965.499082388582</v>
      </c>
      <c r="V28" s="73">
        <f t="shared" si="11"/>
        <v>32231.337366897191</v>
      </c>
      <c r="W28" s="52"/>
      <c r="X28" s="44"/>
      <c r="Y28" s="5"/>
      <c r="Z28"/>
    </row>
    <row r="29" spans="1:26" hidden="1" outlineLevel="1" x14ac:dyDescent="0.25">
      <c r="A29" s="18"/>
      <c r="B29" s="38">
        <f t="shared" si="4"/>
        <v>18</v>
      </c>
      <c r="C29" s="54">
        <f t="shared" si="5"/>
        <v>111.01561856866311</v>
      </c>
      <c r="D29" s="33">
        <f>C29*VLOOKUP($A$12,Ταρίφες!$A$6:$G$23,$K$6,FALSE)*(1+$F$3)^(B29-1)</f>
        <v>56617.965470018185</v>
      </c>
      <c r="E29" s="33">
        <f>C29*VLOOKUP($A$12,Ταρίφες!$A$6:$G$23,$K$7,FALSE)*(1+$F$3)^(B29-1)</f>
        <v>51622.262634428349</v>
      </c>
      <c r="F29" s="46">
        <f t="shared" si="0"/>
        <v>-2800.4828383848489</v>
      </c>
      <c r="G29" s="47">
        <f t="shared" si="1"/>
        <v>-1120.1931353539396</v>
      </c>
      <c r="H29" s="47">
        <f t="shared" si="2"/>
        <v>-3920.6759737387883</v>
      </c>
      <c r="I29" s="46">
        <f t="shared" si="6"/>
        <v>-6301.0863863659097</v>
      </c>
      <c r="J29" s="47">
        <f t="shared" si="3"/>
        <v>-15020</v>
      </c>
      <c r="K29" s="47">
        <f t="shared" si="7"/>
        <v>-7138.4370554054221</v>
      </c>
      <c r="L29" s="47">
        <f t="shared" si="8"/>
        <v>-5839.5543181520643</v>
      </c>
      <c r="M29" s="47">
        <f t="shared" si="9"/>
        <v>35337.090080769281</v>
      </c>
      <c r="N29" s="47">
        <f t="shared" si="10"/>
        <v>31640.269982432801</v>
      </c>
      <c r="O29" s="17"/>
      <c r="P29" s="25"/>
      <c r="Q29" s="25"/>
      <c r="R29" s="22"/>
      <c r="S29" s="52"/>
      <c r="T29" s="44"/>
      <c r="U29" s="72">
        <f t="shared" si="11"/>
        <v>35337.090080769281</v>
      </c>
      <c r="V29" s="73">
        <f t="shared" si="11"/>
        <v>31640.269982432801</v>
      </c>
      <c r="W29" s="52"/>
      <c r="X29" s="44"/>
      <c r="Y29" s="5"/>
      <c r="Z29"/>
    </row>
    <row r="30" spans="1:26" hidden="1" outlineLevel="1" x14ac:dyDescent="0.25">
      <c r="A30" s="18"/>
      <c r="B30" s="38">
        <f t="shared" si="4"/>
        <v>19</v>
      </c>
      <c r="C30" s="54">
        <f t="shared" si="5"/>
        <v>109.90546238297648</v>
      </c>
      <c r="D30" s="33">
        <f>C30*VLOOKUP($A$12,Ταρίφες!$A$6:$G$23,$K$6,FALSE)*(1+$F$3)^(B30-1)</f>
        <v>56051.785815318006</v>
      </c>
      <c r="E30" s="33">
        <f>C30*VLOOKUP($A$12,Ταρίφες!$A$6:$G$23,$K$7,FALSE)*(1+$F$3)^(B30-1)</f>
        <v>51106.040008084063</v>
      </c>
      <c r="F30" s="46">
        <f t="shared" si="0"/>
        <v>-2856.4924951525454</v>
      </c>
      <c r="G30" s="47">
        <f t="shared" si="1"/>
        <v>-1142.5969980610182</v>
      </c>
      <c r="H30" s="47">
        <f t="shared" si="2"/>
        <v>-3999.0894932135634</v>
      </c>
      <c r="I30" s="46">
        <f t="shared" si="6"/>
        <v>-6427.1081140932274</v>
      </c>
      <c r="J30" s="47">
        <f t="shared" si="3"/>
        <v>-15020</v>
      </c>
      <c r="K30" s="47">
        <f t="shared" si="7"/>
        <v>-6917.6896658473888</v>
      </c>
      <c r="L30" s="47">
        <f t="shared" si="8"/>
        <v>-5631.7957559665638</v>
      </c>
      <c r="M30" s="47">
        <f t="shared" si="9"/>
        <v>34708.809048950265</v>
      </c>
      <c r="N30" s="47">
        <f t="shared" si="10"/>
        <v>31048.957151597144</v>
      </c>
      <c r="O30" s="17"/>
      <c r="P30" s="25"/>
      <c r="Q30" s="25"/>
      <c r="R30" s="22"/>
      <c r="S30" s="52"/>
      <c r="T30" s="44"/>
      <c r="U30" s="72">
        <f t="shared" si="11"/>
        <v>34708.809048950265</v>
      </c>
      <c r="V30" s="73">
        <f t="shared" si="11"/>
        <v>31048.957151597144</v>
      </c>
      <c r="W30" s="52"/>
      <c r="X30" s="44"/>
      <c r="Y30" s="5"/>
      <c r="Z30"/>
    </row>
    <row r="31" spans="1:26" hidden="1" outlineLevel="1" x14ac:dyDescent="0.25">
      <c r="A31" s="18"/>
      <c r="B31" s="38">
        <f>B30+1</f>
        <v>20</v>
      </c>
      <c r="C31" s="54">
        <f t="shared" si="5"/>
        <v>108.80640775914671</v>
      </c>
      <c r="D31" s="33">
        <f>C31*VLOOKUP($A$12,Ταρίφες!$A$6:$G$23,$K$6,FALSE)*(1+$F$3)^(B31-1)</f>
        <v>55491.267957164819</v>
      </c>
      <c r="E31" s="33">
        <f>C31*VLOOKUP($A$12,Ταρίφες!$A$6:$G$23,$K$7,FALSE)*(1+$F$3)^(B31-1)</f>
        <v>50594.979608003217</v>
      </c>
      <c r="F31" s="46">
        <f t="shared" si="0"/>
        <v>-2913.6223450555963</v>
      </c>
      <c r="G31" s="47">
        <f t="shared" si="1"/>
        <v>-1165.4489380222385</v>
      </c>
      <c r="H31" s="47">
        <f t="shared" si="2"/>
        <v>-4079.0712830778348</v>
      </c>
      <c r="I31" s="46">
        <f t="shared" si="6"/>
        <v>-6555.6502763750914</v>
      </c>
      <c r="J31" s="47">
        <f t="shared" si="3"/>
        <v>-15020</v>
      </c>
      <c r="K31" s="47">
        <f t="shared" si="7"/>
        <v>-6696.9435298048547</v>
      </c>
      <c r="L31" s="47">
        <f t="shared" si="8"/>
        <v>-5423.9085590228387</v>
      </c>
      <c r="M31" s="47">
        <f t="shared" si="9"/>
        <v>34080.531584829201</v>
      </c>
      <c r="N31" s="47">
        <f t="shared" si="10"/>
        <v>30457.278206449617</v>
      </c>
      <c r="O31" s="17"/>
      <c r="P31" s="25"/>
      <c r="Q31" s="25"/>
      <c r="R31" s="22"/>
      <c r="S31" s="52"/>
      <c r="T31" s="44"/>
      <c r="U31" s="72">
        <f>M31</f>
        <v>34080.531584829201</v>
      </c>
      <c r="V31" s="73">
        <f t="shared" ref="V31" si="12">N31</f>
        <v>30457.278206449617</v>
      </c>
      <c r="W31" s="52"/>
      <c r="X31" s="44"/>
      <c r="Y31" s="5"/>
      <c r="Z31"/>
    </row>
    <row r="32" spans="1:26" s="40" customFormat="1" hidden="1" outlineLevel="1" x14ac:dyDescent="0.25">
      <c r="A32" s="39"/>
      <c r="C32" s="55"/>
      <c r="F32" s="48"/>
      <c r="G32" s="48"/>
      <c r="H32" s="48"/>
      <c r="I32" s="48"/>
      <c r="J32" s="48"/>
      <c r="K32" s="48"/>
      <c r="L32" s="48"/>
      <c r="M32" s="48"/>
      <c r="N32" s="48"/>
      <c r="S32" s="44"/>
      <c r="T32" s="44"/>
      <c r="U32" s="26">
        <f>O33</f>
        <v>-351500</v>
      </c>
      <c r="V32" s="26">
        <f>R33</f>
        <v>-286100</v>
      </c>
      <c r="W32" s="44"/>
      <c r="X32" s="44"/>
      <c r="Y32"/>
      <c r="Z32"/>
    </row>
    <row r="33" spans="1:26" collapsed="1" x14ac:dyDescent="0.25">
      <c r="A33" s="32" t="str">
        <f>Ταρίφες!A11</f>
        <v>Β Τριμ. 2010</v>
      </c>
      <c r="B33" s="38">
        <f>1</f>
        <v>1</v>
      </c>
      <c r="C33" s="54">
        <f>$F$8*$K$2/1000</f>
        <v>131.69999999999999</v>
      </c>
      <c r="D33" s="33">
        <f>C33*VLOOKUP($A$33,Ταρίφες!$A$6:$G$23,$K$6,FALSE)*(1+$F$3)^(B33-1)</f>
        <v>67167</v>
      </c>
      <c r="E33" s="33">
        <f>C33*VLOOKUP($A$33,Ταρίφες!$A$6:$G$23,$K$7,FALSE)*(1+$F$3)^(B33-1)</f>
        <v>59264.999999999993</v>
      </c>
      <c r="F33" s="46">
        <f t="shared" ref="F33:F52" si="13">-($K$5*(1+$F$4)^(B33-$B$12))</f>
        <v>-2000</v>
      </c>
      <c r="G33" s="47">
        <f t="shared" ref="G33:G52" si="14">-$K$2*10*(1+$F$4)^(B33-$B$12)</f>
        <v>-800</v>
      </c>
      <c r="H33" s="47">
        <f t="shared" ref="H33:H52" si="15">-$K$4*(1+$F$4)^(B33-$B$12)</f>
        <v>-2800</v>
      </c>
      <c r="I33" s="46">
        <f t="shared" ref="I33:I52" si="16">-(4500*(1+$F$4)^(B33-$B$12))</f>
        <v>-4500</v>
      </c>
      <c r="J33" s="47">
        <f>$O$33*4%</f>
        <v>-14060</v>
      </c>
      <c r="K33" s="47">
        <f>-(D33+SUM(F33:J33))*$F$5</f>
        <v>-11181.82</v>
      </c>
      <c r="L33" s="47">
        <f>-(E33+SUM(F33:J33))*$F$5</f>
        <v>-9127.2999999999993</v>
      </c>
      <c r="M33" s="47">
        <f>D33+SUM(F33:I33)+K33</f>
        <v>45885.18</v>
      </c>
      <c r="N33" s="47">
        <f>E33+SUM(F33:I33)+L33</f>
        <v>40037.699999999997</v>
      </c>
      <c r="O33" s="35">
        <f>-VLOOKUP(A33,'Κόστος Κατασκευής'!$A$4:$Q$17,$K$8,FALSE)</f>
        <v>-351500</v>
      </c>
      <c r="P33" s="36">
        <f>$K$3</f>
        <v>96000</v>
      </c>
      <c r="Q33" s="36">
        <f>Q12*15/16</f>
        <v>-30600.000000000004</v>
      </c>
      <c r="R33" s="37">
        <f>SUM(O33:Q33)</f>
        <v>-286100</v>
      </c>
      <c r="S33" s="42">
        <f>IRR(U32:U52)</f>
        <v>0.10165354720470177</v>
      </c>
      <c r="T33" s="42">
        <f>IRR(V32:V52)</f>
        <v>0.11207800556369252</v>
      </c>
      <c r="U33" s="27">
        <f>M33</f>
        <v>45885.18</v>
      </c>
      <c r="V33" s="28">
        <f>N33</f>
        <v>40037.699999999997</v>
      </c>
      <c r="W33" s="42">
        <f>'IRR ΔΣ Ισχύον'!S33</f>
        <v>0.10570060488613087</v>
      </c>
      <c r="X33" s="42">
        <f>'IRR ΔΣ Ισχύον'!T33</f>
        <v>0.11036465607270141</v>
      </c>
      <c r="Y33" s="42">
        <f t="shared" ref="Y33:Z76" si="17">S33-W33</f>
        <v>-4.0470576814291004E-3</v>
      </c>
      <c r="Z33" s="42">
        <f t="shared" si="17"/>
        <v>1.7133494909911118E-3</v>
      </c>
    </row>
    <row r="34" spans="1:26" hidden="1" outlineLevel="1" x14ac:dyDescent="0.25">
      <c r="A34" s="18"/>
      <c r="B34" s="38">
        <f>B33+1</f>
        <v>2</v>
      </c>
      <c r="C34" s="54">
        <f t="shared" ref="C34:C52" si="18">C33*(1-$F$2)</f>
        <v>130.38299999999998</v>
      </c>
      <c r="D34" s="33">
        <f>C34*VLOOKUP($A$33,Ταρίφες!$A$6:$G$23,$K$6,FALSE)*(1+$F$3)^(B34-1)</f>
        <v>66495.329999999987</v>
      </c>
      <c r="E34" s="33">
        <f>C34*VLOOKUP($A$33,Ταρίφες!$A$6:$G$23,$K$7,FALSE)*(1+$F$3)^(B34-1)</f>
        <v>58672.349999999991</v>
      </c>
      <c r="F34" s="46">
        <f t="shared" si="13"/>
        <v>-2040</v>
      </c>
      <c r="G34" s="47">
        <f t="shared" si="14"/>
        <v>-816</v>
      </c>
      <c r="H34" s="47">
        <f t="shared" si="15"/>
        <v>-2856</v>
      </c>
      <c r="I34" s="46">
        <f t="shared" si="16"/>
        <v>-4590</v>
      </c>
      <c r="J34" s="47">
        <f t="shared" ref="J34:J52" si="19">$O$33*4%</f>
        <v>-14060</v>
      </c>
      <c r="K34" s="47">
        <f t="shared" ref="K34:K52" si="20">-(D34+SUM(F34:J34))*$F$5</f>
        <v>-10954.665799999997</v>
      </c>
      <c r="L34" s="47">
        <f t="shared" ref="L34:L52" si="21">-(E34+SUM(F34:J34))*$F$5</f>
        <v>-8920.6909999999989</v>
      </c>
      <c r="M34" s="47">
        <f t="shared" ref="M34:M52" si="22">D34+SUM(F34:I34)+K34</f>
        <v>45238.664199999992</v>
      </c>
      <c r="N34" s="47">
        <f t="shared" ref="N34:N52" si="23">E34+SUM(F34:I34)+L34</f>
        <v>39449.658999999992</v>
      </c>
      <c r="O34" s="34"/>
      <c r="P34" s="35"/>
      <c r="Q34" s="35"/>
      <c r="R34" s="33"/>
      <c r="S34" s="43"/>
      <c r="T34" s="19"/>
      <c r="U34" s="27">
        <f t="shared" ref="U34:V51" si="24">M34</f>
        <v>45238.664199999992</v>
      </c>
      <c r="V34" s="28">
        <f t="shared" si="24"/>
        <v>39449.658999999992</v>
      </c>
      <c r="W34" s="43"/>
      <c r="X34" s="19"/>
      <c r="Y34" s="42">
        <f t="shared" si="17"/>
        <v>0</v>
      </c>
      <c r="Z34" s="42">
        <f t="shared" si="17"/>
        <v>0</v>
      </c>
    </row>
    <row r="35" spans="1:26" hidden="1" outlineLevel="1" x14ac:dyDescent="0.25">
      <c r="A35" s="18"/>
      <c r="B35" s="38">
        <f t="shared" si="4"/>
        <v>3</v>
      </c>
      <c r="C35" s="54">
        <f t="shared" si="18"/>
        <v>129.07916999999998</v>
      </c>
      <c r="D35" s="33">
        <f>C35*VLOOKUP($A$33,Ταρίφες!$A$6:$G$23,$K$6,FALSE)*(1+$F$3)^(B35-1)</f>
        <v>65830.376699999993</v>
      </c>
      <c r="E35" s="33">
        <f>C35*VLOOKUP($A$33,Ταρίφες!$A$6:$G$23,$K$7,FALSE)*(1+$F$3)^(B35-1)</f>
        <v>58085.626499999991</v>
      </c>
      <c r="F35" s="46">
        <f t="shared" si="13"/>
        <v>-2080.8000000000002</v>
      </c>
      <c r="G35" s="47">
        <f t="shared" si="14"/>
        <v>-832.31999999999994</v>
      </c>
      <c r="H35" s="47">
        <f t="shared" si="15"/>
        <v>-2913.12</v>
      </c>
      <c r="I35" s="46">
        <f t="shared" si="16"/>
        <v>-4681.8</v>
      </c>
      <c r="J35" s="47">
        <f t="shared" si="19"/>
        <v>-14060</v>
      </c>
      <c r="K35" s="47">
        <f t="shared" si="20"/>
        <v>-10728.207541999998</v>
      </c>
      <c r="L35" s="47">
        <f t="shared" si="21"/>
        <v>-8714.5724899999987</v>
      </c>
      <c r="M35" s="47">
        <f t="shared" si="22"/>
        <v>44594.129157999996</v>
      </c>
      <c r="N35" s="47">
        <f t="shared" si="23"/>
        <v>38863.014009999992</v>
      </c>
      <c r="O35" s="34"/>
      <c r="P35" s="35"/>
      <c r="Q35" s="35"/>
      <c r="R35" s="33"/>
      <c r="S35" s="43"/>
      <c r="T35" s="19"/>
      <c r="U35" s="27">
        <f t="shared" si="24"/>
        <v>44594.129157999996</v>
      </c>
      <c r="V35" s="28">
        <f t="shared" si="24"/>
        <v>38863.014009999992</v>
      </c>
      <c r="W35" s="43"/>
      <c r="X35" s="19"/>
      <c r="Y35" s="42">
        <f t="shared" si="17"/>
        <v>0</v>
      </c>
      <c r="Z35" s="42">
        <f t="shared" si="17"/>
        <v>0</v>
      </c>
    </row>
    <row r="36" spans="1:26" hidden="1" outlineLevel="1" x14ac:dyDescent="0.25">
      <c r="A36" s="18"/>
      <c r="B36" s="38">
        <f t="shared" si="4"/>
        <v>4</v>
      </c>
      <c r="C36" s="54">
        <f t="shared" si="18"/>
        <v>127.78837829999998</v>
      </c>
      <c r="D36" s="33">
        <f>C36*VLOOKUP($A$33,Ταρίφες!$A$6:$G$23,$K$6,FALSE)*(1+$F$3)^(B36-1)</f>
        <v>65172.072932999989</v>
      </c>
      <c r="E36" s="33">
        <f>C36*VLOOKUP($A$33,Ταρίφες!$A$6:$G$23,$K$7,FALSE)*(1+$F$3)^(B36-1)</f>
        <v>57504.770234999989</v>
      </c>
      <c r="F36" s="46">
        <f t="shared" si="13"/>
        <v>-2122.4159999999997</v>
      </c>
      <c r="G36" s="47">
        <f t="shared" si="14"/>
        <v>-848.96639999999991</v>
      </c>
      <c r="H36" s="47">
        <f t="shared" si="15"/>
        <v>-2971.3824</v>
      </c>
      <c r="I36" s="46">
        <f t="shared" si="16"/>
        <v>-4775.4359999999997</v>
      </c>
      <c r="J36" s="47">
        <f t="shared" si="19"/>
        <v>-14060</v>
      </c>
      <c r="K36" s="47">
        <f t="shared" si="20"/>
        <v>-10502.406754579997</v>
      </c>
      <c r="L36" s="47">
        <f t="shared" si="21"/>
        <v>-8508.9080530999981</v>
      </c>
      <c r="M36" s="47">
        <f t="shared" si="22"/>
        <v>43951.465378419991</v>
      </c>
      <c r="N36" s="47">
        <f t="shared" si="23"/>
        <v>38277.66138189999</v>
      </c>
      <c r="O36" s="34"/>
      <c r="P36" s="35"/>
      <c r="Q36" s="35"/>
      <c r="R36" s="33"/>
      <c r="S36" s="43"/>
      <c r="T36" s="19"/>
      <c r="U36" s="27">
        <f t="shared" si="24"/>
        <v>43951.465378419991</v>
      </c>
      <c r="V36" s="28">
        <f t="shared" si="24"/>
        <v>38277.66138189999</v>
      </c>
      <c r="W36" s="43"/>
      <c r="X36" s="19"/>
      <c r="Y36" s="42">
        <f t="shared" si="17"/>
        <v>0</v>
      </c>
      <c r="Z36" s="42">
        <f t="shared" si="17"/>
        <v>0</v>
      </c>
    </row>
    <row r="37" spans="1:26" hidden="1" outlineLevel="1" x14ac:dyDescent="0.25">
      <c r="A37" s="18"/>
      <c r="B37" s="38">
        <f t="shared" si="4"/>
        <v>5</v>
      </c>
      <c r="C37" s="54">
        <f t="shared" si="18"/>
        <v>126.51049451699997</v>
      </c>
      <c r="D37" s="33">
        <f>C37*VLOOKUP($A$33,Ταρίφες!$A$6:$G$23,$K$6,FALSE)*(1+$F$3)^(B37-1)</f>
        <v>64520.352203669987</v>
      </c>
      <c r="E37" s="33">
        <f>C37*VLOOKUP($A$33,Ταρίφες!$A$6:$G$23,$K$7,FALSE)*(1+$F$3)^(B37-1)</f>
        <v>56929.722532649983</v>
      </c>
      <c r="F37" s="46">
        <f t="shared" si="13"/>
        <v>-2164.8643200000001</v>
      </c>
      <c r="G37" s="47">
        <f t="shared" si="14"/>
        <v>-865.94572800000003</v>
      </c>
      <c r="H37" s="47">
        <f t="shared" si="15"/>
        <v>-3030.8100479999998</v>
      </c>
      <c r="I37" s="46">
        <f t="shared" si="16"/>
        <v>-4870.9447199999995</v>
      </c>
      <c r="J37" s="47">
        <f t="shared" si="19"/>
        <v>-14060</v>
      </c>
      <c r="K37" s="47">
        <f t="shared" si="20"/>
        <v>-10277.224720794198</v>
      </c>
      <c r="L37" s="47">
        <f t="shared" si="21"/>
        <v>-8303.6610063289954</v>
      </c>
      <c r="M37" s="47">
        <f t="shared" si="22"/>
        <v>43310.56266687579</v>
      </c>
      <c r="N37" s="47">
        <f t="shared" si="23"/>
        <v>37693.496710320993</v>
      </c>
      <c r="O37" s="34"/>
      <c r="P37" s="35"/>
      <c r="Q37" s="35"/>
      <c r="R37" s="33"/>
      <c r="S37" s="43"/>
      <c r="T37" s="19"/>
      <c r="U37" s="27">
        <f t="shared" si="24"/>
        <v>43310.56266687579</v>
      </c>
      <c r="V37" s="28">
        <f t="shared" si="24"/>
        <v>37693.496710320993</v>
      </c>
      <c r="W37" s="43"/>
      <c r="X37" s="19"/>
      <c r="Y37" s="42">
        <f t="shared" si="17"/>
        <v>0</v>
      </c>
      <c r="Z37" s="42">
        <f t="shared" si="17"/>
        <v>0</v>
      </c>
    </row>
    <row r="38" spans="1:26" hidden="1" outlineLevel="1" x14ac:dyDescent="0.25">
      <c r="A38" s="18"/>
      <c r="B38" s="38">
        <f t="shared" si="4"/>
        <v>6</v>
      </c>
      <c r="C38" s="54">
        <f t="shared" si="18"/>
        <v>125.24538957182997</v>
      </c>
      <c r="D38" s="33">
        <f>C38*VLOOKUP($A$33,Ταρίφες!$A$6:$G$23,$K$6,FALSE)*(1+$F$3)^(B38-1)</f>
        <v>63875.148681633284</v>
      </c>
      <c r="E38" s="33">
        <f>C38*VLOOKUP($A$33,Ταρίφες!$A$6:$G$23,$K$7,FALSE)*(1+$F$3)^(B38-1)</f>
        <v>56360.425307323487</v>
      </c>
      <c r="F38" s="46">
        <f t="shared" si="13"/>
        <v>-2208.1616064</v>
      </c>
      <c r="G38" s="47">
        <f t="shared" si="14"/>
        <v>-883.26464255999997</v>
      </c>
      <c r="H38" s="47">
        <f t="shared" si="15"/>
        <v>-3091.4262489600001</v>
      </c>
      <c r="I38" s="46">
        <f t="shared" si="16"/>
        <v>-4968.3636144000002</v>
      </c>
      <c r="J38" s="47">
        <f t="shared" si="19"/>
        <v>-14060</v>
      </c>
      <c r="K38" s="47">
        <f t="shared" si="20"/>
        <v>-10052.622468021455</v>
      </c>
      <c r="L38" s="47">
        <f t="shared" si="21"/>
        <v>-8098.7943907009076</v>
      </c>
      <c r="M38" s="47">
        <f t="shared" si="22"/>
        <v>42671.310101291834</v>
      </c>
      <c r="N38" s="47">
        <f t="shared" si="23"/>
        <v>37110.414804302578</v>
      </c>
      <c r="O38" s="34"/>
      <c r="P38" s="35"/>
      <c r="Q38" s="35"/>
      <c r="R38" s="33"/>
      <c r="S38" s="43"/>
      <c r="T38" s="19"/>
      <c r="U38" s="27">
        <f t="shared" si="24"/>
        <v>42671.310101291834</v>
      </c>
      <c r="V38" s="28">
        <f t="shared" si="24"/>
        <v>37110.414804302578</v>
      </c>
      <c r="W38" s="43"/>
      <c r="X38" s="19"/>
      <c r="Y38" s="42">
        <f t="shared" si="17"/>
        <v>0</v>
      </c>
      <c r="Z38" s="42">
        <f t="shared" si="17"/>
        <v>0</v>
      </c>
    </row>
    <row r="39" spans="1:26" hidden="1" outlineLevel="1" x14ac:dyDescent="0.25">
      <c r="A39" s="18"/>
      <c r="B39" s="38">
        <f t="shared" si="4"/>
        <v>7</v>
      </c>
      <c r="C39" s="54">
        <f t="shared" si="18"/>
        <v>123.99293567611167</v>
      </c>
      <c r="D39" s="33">
        <f>C39*VLOOKUP($A$33,Ταρίφες!$A$6:$G$23,$K$6,FALSE)*(1+$F$3)^(B39-1)</f>
        <v>63236.397194816949</v>
      </c>
      <c r="E39" s="33">
        <f>C39*VLOOKUP($A$33,Ταρίφες!$A$6:$G$23,$K$7,FALSE)*(1+$F$3)^(B39-1)</f>
        <v>55796.821054250249</v>
      </c>
      <c r="F39" s="46">
        <f t="shared" si="13"/>
        <v>-2252.3248385280003</v>
      </c>
      <c r="G39" s="47">
        <f t="shared" si="14"/>
        <v>-900.92993541120006</v>
      </c>
      <c r="H39" s="47">
        <f t="shared" si="15"/>
        <v>-3153.2547739392003</v>
      </c>
      <c r="I39" s="46">
        <f t="shared" si="16"/>
        <v>-5067.7308866880003</v>
      </c>
      <c r="J39" s="47">
        <f t="shared" si="19"/>
        <v>-14060</v>
      </c>
      <c r="K39" s="47">
        <f t="shared" si="20"/>
        <v>-9828.5607576651437</v>
      </c>
      <c r="L39" s="47">
        <f t="shared" si="21"/>
        <v>-7894.2709611178007</v>
      </c>
      <c r="M39" s="47">
        <f t="shared" si="22"/>
        <v>42033.596002585407</v>
      </c>
      <c r="N39" s="47">
        <f t="shared" si="23"/>
        <v>36528.309658566053</v>
      </c>
      <c r="O39" s="34"/>
      <c r="P39" s="35"/>
      <c r="Q39" s="35"/>
      <c r="R39" s="33"/>
      <c r="S39" s="43"/>
      <c r="T39" s="19"/>
      <c r="U39" s="27">
        <f t="shared" si="24"/>
        <v>42033.596002585407</v>
      </c>
      <c r="V39" s="28">
        <f t="shared" si="24"/>
        <v>36528.309658566053</v>
      </c>
      <c r="W39" s="43"/>
      <c r="X39" s="19"/>
      <c r="Y39" s="42">
        <f t="shared" si="17"/>
        <v>0</v>
      </c>
      <c r="Z39" s="42">
        <f t="shared" si="17"/>
        <v>0</v>
      </c>
    </row>
    <row r="40" spans="1:26" hidden="1" outlineLevel="1" x14ac:dyDescent="0.25">
      <c r="A40" s="18"/>
      <c r="B40" s="38">
        <f t="shared" si="4"/>
        <v>8</v>
      </c>
      <c r="C40" s="54">
        <f t="shared" si="18"/>
        <v>122.75300631935055</v>
      </c>
      <c r="D40" s="33">
        <f>C40*VLOOKUP($A$33,Ταρίφες!$A$6:$G$23,$K$6,FALSE)*(1+$F$3)^(B40-1)</f>
        <v>62604.033222868777</v>
      </c>
      <c r="E40" s="33">
        <f>C40*VLOOKUP($A$33,Ταρίφες!$A$6:$G$23,$K$7,FALSE)*(1+$F$3)^(B40-1)</f>
        <v>55238.852843707748</v>
      </c>
      <c r="F40" s="46">
        <f t="shared" si="13"/>
        <v>-2297.3713352985596</v>
      </c>
      <c r="G40" s="47">
        <f t="shared" si="14"/>
        <v>-918.94853411942381</v>
      </c>
      <c r="H40" s="47">
        <f t="shared" si="15"/>
        <v>-3216.3198694179837</v>
      </c>
      <c r="I40" s="46">
        <f t="shared" si="16"/>
        <v>-5169.0855044217587</v>
      </c>
      <c r="J40" s="47">
        <f t="shared" si="19"/>
        <v>-14060</v>
      </c>
      <c r="K40" s="47">
        <f t="shared" si="20"/>
        <v>-9605.0000746988753</v>
      </c>
      <c r="L40" s="47">
        <f t="shared" si="21"/>
        <v>-7690.0531761170059</v>
      </c>
      <c r="M40" s="47">
        <f t="shared" si="22"/>
        <v>41397.307904912181</v>
      </c>
      <c r="N40" s="47">
        <f t="shared" si="23"/>
        <v>35947.074424333019</v>
      </c>
      <c r="O40" s="34"/>
      <c r="P40" s="35"/>
      <c r="Q40" s="35"/>
      <c r="R40" s="33"/>
      <c r="S40" s="43"/>
      <c r="T40" s="19"/>
      <c r="U40" s="27">
        <f t="shared" si="24"/>
        <v>41397.307904912181</v>
      </c>
      <c r="V40" s="28">
        <f t="shared" si="24"/>
        <v>35947.074424333019</v>
      </c>
      <c r="W40" s="43"/>
      <c r="X40" s="19"/>
      <c r="Y40" s="42">
        <f t="shared" si="17"/>
        <v>0</v>
      </c>
      <c r="Z40" s="42">
        <f t="shared" si="17"/>
        <v>0</v>
      </c>
    </row>
    <row r="41" spans="1:26" hidden="1" outlineLevel="1" x14ac:dyDescent="0.25">
      <c r="A41" s="18"/>
      <c r="B41" s="38">
        <f t="shared" si="4"/>
        <v>9</v>
      </c>
      <c r="C41" s="54">
        <f t="shared" si="18"/>
        <v>121.52547625615703</v>
      </c>
      <c r="D41" s="33">
        <f>C41*VLOOKUP($A$33,Ταρίφες!$A$6:$G$23,$K$6,FALSE)*(1+$F$3)^(B41-1)</f>
        <v>61977.992890640089</v>
      </c>
      <c r="E41" s="33">
        <f>C41*VLOOKUP($A$33,Ταρίφες!$A$6:$G$23,$K$7,FALSE)*(1+$F$3)^(B41-1)</f>
        <v>54686.464315270663</v>
      </c>
      <c r="F41" s="46">
        <f t="shared" si="13"/>
        <v>-2343.318762004531</v>
      </c>
      <c r="G41" s="47">
        <f t="shared" si="14"/>
        <v>-937.32750480181244</v>
      </c>
      <c r="H41" s="47">
        <f t="shared" si="15"/>
        <v>-3280.6462668063436</v>
      </c>
      <c r="I41" s="46">
        <f t="shared" si="16"/>
        <v>-5272.4672145101949</v>
      </c>
      <c r="J41" s="47">
        <f t="shared" si="19"/>
        <v>-14060</v>
      </c>
      <c r="K41" s="47">
        <f t="shared" si="20"/>
        <v>-9381.9006170544744</v>
      </c>
      <c r="L41" s="47">
        <f t="shared" si="21"/>
        <v>-7486.1031874584241</v>
      </c>
      <c r="M41" s="47">
        <f t="shared" si="22"/>
        <v>40762.332525462734</v>
      </c>
      <c r="N41" s="47">
        <f t="shared" si="23"/>
        <v>35366.60137968936</v>
      </c>
      <c r="O41" s="34"/>
      <c r="P41" s="35"/>
      <c r="Q41" s="35"/>
      <c r="R41" s="33"/>
      <c r="S41" s="43"/>
      <c r="T41" s="19"/>
      <c r="U41" s="27">
        <f t="shared" si="24"/>
        <v>40762.332525462734</v>
      </c>
      <c r="V41" s="28">
        <f t="shared" si="24"/>
        <v>35366.60137968936</v>
      </c>
      <c r="W41" s="43"/>
      <c r="X41" s="19"/>
      <c r="Y41" s="42">
        <f t="shared" si="17"/>
        <v>0</v>
      </c>
      <c r="Z41" s="42">
        <f t="shared" si="17"/>
        <v>0</v>
      </c>
    </row>
    <row r="42" spans="1:26" hidden="1" outlineLevel="1" x14ac:dyDescent="0.25">
      <c r="A42" s="18"/>
      <c r="B42" s="38">
        <f t="shared" si="4"/>
        <v>10</v>
      </c>
      <c r="C42" s="54">
        <f t="shared" si="18"/>
        <v>120.31022149359546</v>
      </c>
      <c r="D42" s="33">
        <f>C42*VLOOKUP($A$33,Ταρίφες!$A$6:$G$23,$K$6,FALSE)*(1+$F$3)^(B42-1)</f>
        <v>61358.212961733683</v>
      </c>
      <c r="E42" s="33">
        <f>C42*VLOOKUP($A$33,Ταρίφες!$A$6:$G$23,$K$7,FALSE)*(1+$F$3)^(B42-1)</f>
        <v>54139.599672117962</v>
      </c>
      <c r="F42" s="46">
        <f t="shared" si="13"/>
        <v>-2390.1851372446217</v>
      </c>
      <c r="G42" s="47">
        <f t="shared" si="14"/>
        <v>-956.07405489784867</v>
      </c>
      <c r="H42" s="47">
        <f t="shared" si="15"/>
        <v>-3346.2591921424705</v>
      </c>
      <c r="I42" s="46">
        <f t="shared" si="16"/>
        <v>-5377.9165588003989</v>
      </c>
      <c r="J42" s="47">
        <f t="shared" si="19"/>
        <v>-14060</v>
      </c>
      <c r="K42" s="47">
        <f t="shared" si="20"/>
        <v>-9159.222284848569</v>
      </c>
      <c r="L42" s="47">
        <f t="shared" si="21"/>
        <v>-7282.3828295484818</v>
      </c>
      <c r="M42" s="47">
        <f t="shared" si="22"/>
        <v>40128.555733799774</v>
      </c>
      <c r="N42" s="47">
        <f t="shared" si="23"/>
        <v>34786.781899484136</v>
      </c>
      <c r="O42" s="34"/>
      <c r="P42" s="35"/>
      <c r="Q42" s="35"/>
      <c r="R42" s="33"/>
      <c r="S42" s="43"/>
      <c r="T42" s="19"/>
      <c r="U42" s="27">
        <f t="shared" si="24"/>
        <v>40128.555733799774</v>
      </c>
      <c r="V42" s="28">
        <f t="shared" si="24"/>
        <v>34786.781899484136</v>
      </c>
      <c r="W42" s="43"/>
      <c r="X42" s="19"/>
      <c r="Y42" s="42">
        <f t="shared" si="17"/>
        <v>0</v>
      </c>
      <c r="Z42" s="42">
        <f t="shared" si="17"/>
        <v>0</v>
      </c>
    </row>
    <row r="43" spans="1:26" hidden="1" outlineLevel="1" x14ac:dyDescent="0.25">
      <c r="A43" s="18"/>
      <c r="B43" s="38">
        <f t="shared" si="4"/>
        <v>11</v>
      </c>
      <c r="C43" s="54">
        <f t="shared" si="18"/>
        <v>119.10711927865951</v>
      </c>
      <c r="D43" s="33">
        <f>C43*VLOOKUP($A$33,Ταρίφες!$A$6:$G$23,$K$6,FALSE)*(1+$F$3)^(B43-1)</f>
        <v>60744.630832116352</v>
      </c>
      <c r="E43" s="33">
        <f>C43*VLOOKUP($A$33,Ταρίφες!$A$6:$G$23,$K$7,FALSE)*(1+$F$3)^(B43-1)</f>
        <v>53598.203675396777</v>
      </c>
      <c r="F43" s="46">
        <f t="shared" si="13"/>
        <v>-2437.9888399895144</v>
      </c>
      <c r="G43" s="47">
        <f t="shared" si="14"/>
        <v>-975.1955359958057</v>
      </c>
      <c r="H43" s="47">
        <f t="shared" si="15"/>
        <v>-3413.18437598532</v>
      </c>
      <c r="I43" s="46">
        <f t="shared" si="16"/>
        <v>-5485.4748899764072</v>
      </c>
      <c r="J43" s="47">
        <f t="shared" si="19"/>
        <v>-14060</v>
      </c>
      <c r="K43" s="47">
        <f t="shared" si="20"/>
        <v>-8936.9246694440208</v>
      </c>
      <c r="L43" s="47">
        <f t="shared" si="21"/>
        <v>-7078.8536086969307</v>
      </c>
      <c r="M43" s="47">
        <f t="shared" si="22"/>
        <v>39495.862520725284</v>
      </c>
      <c r="N43" s="47">
        <f t="shared" si="23"/>
        <v>34207.506424752799</v>
      </c>
      <c r="O43" s="34"/>
      <c r="P43" s="35"/>
      <c r="Q43" s="35"/>
      <c r="R43" s="33"/>
      <c r="S43" s="43"/>
      <c r="T43" s="19"/>
      <c r="U43" s="27">
        <f t="shared" si="24"/>
        <v>39495.862520725284</v>
      </c>
      <c r="V43" s="28">
        <f t="shared" si="24"/>
        <v>34207.506424752799</v>
      </c>
      <c r="W43" s="43"/>
      <c r="X43" s="19"/>
      <c r="Y43" s="42">
        <f t="shared" si="17"/>
        <v>0</v>
      </c>
      <c r="Z43" s="42">
        <f t="shared" si="17"/>
        <v>0</v>
      </c>
    </row>
    <row r="44" spans="1:26" hidden="1" outlineLevel="1" x14ac:dyDescent="0.25">
      <c r="A44" s="18"/>
      <c r="B44" s="38">
        <f t="shared" si="4"/>
        <v>12</v>
      </c>
      <c r="C44" s="54">
        <f t="shared" si="18"/>
        <v>117.91604808587292</v>
      </c>
      <c r="D44" s="33">
        <f>C44*VLOOKUP($A$33,Ταρίφες!$A$6:$G$23,$K$6,FALSE)*(1+$F$3)^(B44-1)</f>
        <v>60137.184523795186</v>
      </c>
      <c r="E44" s="33">
        <f>C44*VLOOKUP($A$33,Ταρίφες!$A$6:$G$23,$K$7,FALSE)*(1+$F$3)^(B44-1)</f>
        <v>53062.221638642812</v>
      </c>
      <c r="F44" s="46">
        <f t="shared" si="13"/>
        <v>-2486.7486167893039</v>
      </c>
      <c r="G44" s="47">
        <f t="shared" si="14"/>
        <v>-994.69944671572159</v>
      </c>
      <c r="H44" s="47">
        <f t="shared" si="15"/>
        <v>-3481.4480635050259</v>
      </c>
      <c r="I44" s="46">
        <f t="shared" si="16"/>
        <v>-5595.1843877759338</v>
      </c>
      <c r="J44" s="47">
        <f t="shared" si="19"/>
        <v>-14060</v>
      </c>
      <c r="K44" s="47">
        <f t="shared" si="20"/>
        <v>-8714.9670423423922</v>
      </c>
      <c r="L44" s="47">
        <f t="shared" si="21"/>
        <v>-6875.4766922027748</v>
      </c>
      <c r="M44" s="47">
        <f t="shared" si="22"/>
        <v>38864.136966666803</v>
      </c>
      <c r="N44" s="47">
        <f t="shared" si="23"/>
        <v>33628.664431654048</v>
      </c>
      <c r="O44" s="34"/>
      <c r="P44" s="35"/>
      <c r="Q44" s="35"/>
      <c r="R44" s="33"/>
      <c r="S44" s="43"/>
      <c r="T44" s="19"/>
      <c r="U44" s="27">
        <f t="shared" si="24"/>
        <v>38864.136966666803</v>
      </c>
      <c r="V44" s="28">
        <f t="shared" si="24"/>
        <v>33628.664431654048</v>
      </c>
      <c r="W44" s="43"/>
      <c r="X44" s="19"/>
      <c r="Y44" s="42">
        <f t="shared" si="17"/>
        <v>0</v>
      </c>
      <c r="Z44" s="42">
        <f t="shared" si="17"/>
        <v>0</v>
      </c>
    </row>
    <row r="45" spans="1:26" hidden="1" outlineLevel="1" x14ac:dyDescent="0.25">
      <c r="A45" s="18"/>
      <c r="B45" s="38">
        <f t="shared" si="4"/>
        <v>13</v>
      </c>
      <c r="C45" s="54">
        <f t="shared" si="18"/>
        <v>116.73688760501419</v>
      </c>
      <c r="D45" s="33">
        <f>C45*VLOOKUP($A$33,Ταρίφες!$A$6:$G$23,$K$6,FALSE)*(1+$F$3)^(B45-1)</f>
        <v>59535.812678557239</v>
      </c>
      <c r="E45" s="33">
        <f>C45*VLOOKUP($A$33,Ταρίφες!$A$6:$G$23,$K$7,FALSE)*(1+$F$3)^(B45-1)</f>
        <v>52531.599422256382</v>
      </c>
      <c r="F45" s="46">
        <f t="shared" si="13"/>
        <v>-2536.4835891250905</v>
      </c>
      <c r="G45" s="47">
        <f t="shared" si="14"/>
        <v>-1014.5934356500362</v>
      </c>
      <c r="H45" s="47">
        <f t="shared" si="15"/>
        <v>-3551.0770247751266</v>
      </c>
      <c r="I45" s="46">
        <f t="shared" si="16"/>
        <v>-5707.0880755314538</v>
      </c>
      <c r="J45" s="47">
        <f t="shared" si="19"/>
        <v>-14060</v>
      </c>
      <c r="K45" s="47">
        <f t="shared" si="20"/>
        <v>-8493.3083439036382</v>
      </c>
      <c r="L45" s="47">
        <f t="shared" si="21"/>
        <v>-6672.2128972654164</v>
      </c>
      <c r="M45" s="47">
        <f t="shared" si="22"/>
        <v>38233.262209571898</v>
      </c>
      <c r="N45" s="47">
        <f t="shared" si="23"/>
        <v>33050.144399909259</v>
      </c>
      <c r="O45" s="34"/>
      <c r="P45" s="35"/>
      <c r="Q45" s="35"/>
      <c r="R45" s="33"/>
      <c r="S45" s="43"/>
      <c r="T45" s="19"/>
      <c r="U45" s="27">
        <f t="shared" si="24"/>
        <v>38233.262209571898</v>
      </c>
      <c r="V45" s="28">
        <f t="shared" si="24"/>
        <v>33050.144399909259</v>
      </c>
      <c r="W45" s="43"/>
      <c r="X45" s="19"/>
      <c r="Y45" s="42">
        <f t="shared" si="17"/>
        <v>0</v>
      </c>
      <c r="Z45" s="42">
        <f t="shared" si="17"/>
        <v>0</v>
      </c>
    </row>
    <row r="46" spans="1:26" hidden="1" outlineLevel="1" x14ac:dyDescent="0.25">
      <c r="A46" s="18"/>
      <c r="B46" s="38">
        <f t="shared" si="4"/>
        <v>14</v>
      </c>
      <c r="C46" s="54">
        <f t="shared" si="18"/>
        <v>115.56951872896404</v>
      </c>
      <c r="D46" s="33">
        <f>C46*VLOOKUP($A$33,Ταρίφες!$A$6:$G$23,$K$6,FALSE)*(1+$F$3)^(B46-1)</f>
        <v>58940.454551771661</v>
      </c>
      <c r="E46" s="33">
        <f>C46*VLOOKUP($A$33,Ταρίφες!$A$6:$G$23,$K$7,FALSE)*(1+$F$3)^(B46-1)</f>
        <v>52006.283428033821</v>
      </c>
      <c r="F46" s="46">
        <f t="shared" si="13"/>
        <v>-2587.213260907592</v>
      </c>
      <c r="G46" s="47">
        <f t="shared" si="14"/>
        <v>-1034.8853043630368</v>
      </c>
      <c r="H46" s="47">
        <f t="shared" si="15"/>
        <v>-3622.098565270629</v>
      </c>
      <c r="I46" s="46">
        <f t="shared" si="16"/>
        <v>-5821.2298370420822</v>
      </c>
      <c r="J46" s="47">
        <f t="shared" si="19"/>
        <v>-14060</v>
      </c>
      <c r="K46" s="47">
        <f t="shared" si="20"/>
        <v>-8271.9071718889645</v>
      </c>
      <c r="L46" s="47">
        <f t="shared" si="21"/>
        <v>-6469.0226797171254</v>
      </c>
      <c r="M46" s="47">
        <f t="shared" si="22"/>
        <v>37603.120412299366</v>
      </c>
      <c r="N46" s="47">
        <f t="shared" si="23"/>
        <v>32471.833780733352</v>
      </c>
      <c r="O46" s="34"/>
      <c r="P46" s="35"/>
      <c r="Q46" s="35"/>
      <c r="R46" s="33"/>
      <c r="S46" s="43"/>
      <c r="T46" s="19"/>
      <c r="U46" s="27">
        <f t="shared" si="24"/>
        <v>37603.120412299366</v>
      </c>
      <c r="V46" s="28">
        <f t="shared" si="24"/>
        <v>32471.833780733352</v>
      </c>
      <c r="W46" s="43"/>
      <c r="X46" s="19"/>
      <c r="Y46" s="42">
        <f t="shared" si="17"/>
        <v>0</v>
      </c>
      <c r="Z46" s="42">
        <f t="shared" si="17"/>
        <v>0</v>
      </c>
    </row>
    <row r="47" spans="1:26" hidden="1" outlineLevel="1" x14ac:dyDescent="0.25">
      <c r="A47" s="18"/>
      <c r="B47" s="38">
        <f t="shared" si="4"/>
        <v>15</v>
      </c>
      <c r="C47" s="54">
        <f t="shared" si="18"/>
        <v>114.4138235416744</v>
      </c>
      <c r="D47" s="33">
        <f>C47*VLOOKUP($A$33,Ταρίφες!$A$6:$G$23,$K$6,FALSE)*(1+$F$3)^(B47-1)</f>
        <v>58351.050006253943</v>
      </c>
      <c r="E47" s="33">
        <f>C47*VLOOKUP($A$33,Ταρίφες!$A$6:$G$23,$K$7,FALSE)*(1+$F$3)^(B47-1)</f>
        <v>51486.220593753482</v>
      </c>
      <c r="F47" s="46">
        <f t="shared" si="13"/>
        <v>-2638.9575261257442</v>
      </c>
      <c r="G47" s="47">
        <f t="shared" si="14"/>
        <v>-1055.5830104502977</v>
      </c>
      <c r="H47" s="47">
        <f t="shared" si="15"/>
        <v>-3694.5405365760421</v>
      </c>
      <c r="I47" s="46">
        <f t="shared" si="16"/>
        <v>-5937.6544337829246</v>
      </c>
      <c r="J47" s="47">
        <f t="shared" si="19"/>
        <v>-14060</v>
      </c>
      <c r="K47" s="47">
        <f t="shared" si="20"/>
        <v>-8050.7217698229233</v>
      </c>
      <c r="L47" s="47">
        <f t="shared" si="21"/>
        <v>-6265.8661225728029</v>
      </c>
      <c r="M47" s="47">
        <f t="shared" si="22"/>
        <v>36973.592729496013</v>
      </c>
      <c r="N47" s="47">
        <f t="shared" si="23"/>
        <v>31893.61896424567</v>
      </c>
      <c r="O47" s="34"/>
      <c r="P47" s="35"/>
      <c r="Q47" s="35"/>
      <c r="R47" s="33"/>
      <c r="S47" s="43"/>
      <c r="T47" s="19"/>
      <c r="U47" s="27">
        <f t="shared" si="24"/>
        <v>36973.592729496013</v>
      </c>
      <c r="V47" s="28">
        <f t="shared" si="24"/>
        <v>31893.61896424567</v>
      </c>
      <c r="W47" s="43"/>
      <c r="X47" s="19"/>
      <c r="Y47" s="42">
        <f t="shared" si="17"/>
        <v>0</v>
      </c>
      <c r="Z47" s="42">
        <f t="shared" si="17"/>
        <v>0</v>
      </c>
    </row>
    <row r="48" spans="1:26" hidden="1" outlineLevel="1" x14ac:dyDescent="0.25">
      <c r="A48" s="18"/>
      <c r="B48" s="38">
        <f t="shared" si="4"/>
        <v>16</v>
      </c>
      <c r="C48" s="54">
        <f t="shared" si="18"/>
        <v>113.26968530625766</v>
      </c>
      <c r="D48" s="33">
        <f>C48*VLOOKUP($A$33,Ταρίφες!$A$6:$G$23,$K$6,FALSE)*(1+$F$3)^(B48-1)</f>
        <v>57767.539506191402</v>
      </c>
      <c r="E48" s="33">
        <f>C48*VLOOKUP($A$33,Ταρίφες!$A$6:$G$23,$K$7,FALSE)*(1+$F$3)^(B48-1)</f>
        <v>50971.358387815948</v>
      </c>
      <c r="F48" s="46">
        <f t="shared" si="13"/>
        <v>-2691.7366766482583</v>
      </c>
      <c r="G48" s="47">
        <f t="shared" si="14"/>
        <v>-1076.6946706593035</v>
      </c>
      <c r="H48" s="47">
        <f t="shared" si="15"/>
        <v>-3768.4313473075617</v>
      </c>
      <c r="I48" s="46">
        <f t="shared" si="16"/>
        <v>-6056.4075224585813</v>
      </c>
      <c r="J48" s="47">
        <f t="shared" si="19"/>
        <v>-14060</v>
      </c>
      <c r="K48" s="47">
        <f t="shared" si="20"/>
        <v>-7829.7100151706018</v>
      </c>
      <c r="L48" s="47">
        <f t="shared" si="21"/>
        <v>-6062.7029243929837</v>
      </c>
      <c r="M48" s="47">
        <f t="shared" si="22"/>
        <v>36344.559273947096</v>
      </c>
      <c r="N48" s="47">
        <f t="shared" si="23"/>
        <v>31315.385246349262</v>
      </c>
      <c r="O48" s="34"/>
      <c r="P48" s="35"/>
      <c r="Q48" s="35"/>
      <c r="R48" s="33"/>
      <c r="S48" s="43"/>
      <c r="T48" s="19"/>
      <c r="U48" s="27">
        <f t="shared" si="24"/>
        <v>36344.559273947096</v>
      </c>
      <c r="V48" s="28">
        <f t="shared" si="24"/>
        <v>31315.385246349262</v>
      </c>
      <c r="W48" s="43"/>
      <c r="X48" s="19"/>
      <c r="Y48" s="42">
        <f t="shared" si="17"/>
        <v>0</v>
      </c>
      <c r="Z48" s="42">
        <f t="shared" si="17"/>
        <v>0</v>
      </c>
    </row>
    <row r="49" spans="1:26" hidden="1" outlineLevel="1" x14ac:dyDescent="0.25">
      <c r="A49" s="18"/>
      <c r="B49" s="38">
        <f t="shared" si="4"/>
        <v>17</v>
      </c>
      <c r="C49" s="54">
        <f t="shared" si="18"/>
        <v>112.13698845319507</v>
      </c>
      <c r="D49" s="33">
        <f>C49*VLOOKUP($A$33,Ταρίφες!$A$6:$G$23,$K$6,FALSE)*(1+$F$3)^(B49-1)</f>
        <v>57189.864111129486</v>
      </c>
      <c r="E49" s="33">
        <f>C49*VLOOKUP($A$33,Ταρίφες!$A$6:$G$23,$K$7,FALSE)*(1+$F$3)^(B49-1)</f>
        <v>50461.644803937786</v>
      </c>
      <c r="F49" s="46">
        <f t="shared" si="13"/>
        <v>-2745.5714101812241</v>
      </c>
      <c r="G49" s="47">
        <f t="shared" si="14"/>
        <v>-1098.2285640724897</v>
      </c>
      <c r="H49" s="47">
        <f t="shared" si="15"/>
        <v>-3843.7999742537136</v>
      </c>
      <c r="I49" s="46">
        <f t="shared" si="16"/>
        <v>-6177.5356729077539</v>
      </c>
      <c r="J49" s="47">
        <f t="shared" si="19"/>
        <v>-14060</v>
      </c>
      <c r="K49" s="47">
        <f t="shared" si="20"/>
        <v>-7608.8294073257193</v>
      </c>
      <c r="L49" s="47">
        <f t="shared" si="21"/>
        <v>-5859.4923874558772</v>
      </c>
      <c r="M49" s="47">
        <f t="shared" si="22"/>
        <v>35715.899082388583</v>
      </c>
      <c r="N49" s="47">
        <f t="shared" si="23"/>
        <v>30737.016795066727</v>
      </c>
      <c r="O49" s="34"/>
      <c r="P49" s="35"/>
      <c r="Q49" s="35"/>
      <c r="R49" s="33"/>
      <c r="S49" s="43"/>
      <c r="T49" s="19"/>
      <c r="U49" s="27">
        <f t="shared" si="24"/>
        <v>35715.899082388583</v>
      </c>
      <c r="V49" s="28">
        <f t="shared" si="24"/>
        <v>30737.016795066727</v>
      </c>
      <c r="W49" s="43"/>
      <c r="X49" s="19"/>
      <c r="Y49" s="42">
        <f t="shared" si="17"/>
        <v>0</v>
      </c>
      <c r="Z49" s="42">
        <f t="shared" si="17"/>
        <v>0</v>
      </c>
    </row>
    <row r="50" spans="1:26" hidden="1" outlineLevel="1" x14ac:dyDescent="0.25">
      <c r="A50" s="18"/>
      <c r="B50" s="38">
        <f t="shared" si="4"/>
        <v>18</v>
      </c>
      <c r="C50" s="54">
        <f t="shared" si="18"/>
        <v>111.01561856866311</v>
      </c>
      <c r="D50" s="33">
        <f>C50*VLOOKUP($A$33,Ταρίφες!$A$6:$G$23,$K$6,FALSE)*(1+$F$3)^(B50-1)</f>
        <v>56617.965470018185</v>
      </c>
      <c r="E50" s="33">
        <f>C50*VLOOKUP($A$33,Ταρίφες!$A$6:$G$23,$K$7,FALSE)*(1+$F$3)^(B50-1)</f>
        <v>49957.028355898401</v>
      </c>
      <c r="F50" s="46">
        <f t="shared" si="13"/>
        <v>-2800.4828383848489</v>
      </c>
      <c r="G50" s="47">
        <f t="shared" si="14"/>
        <v>-1120.1931353539396</v>
      </c>
      <c r="H50" s="47">
        <f t="shared" si="15"/>
        <v>-3920.6759737387883</v>
      </c>
      <c r="I50" s="46">
        <f t="shared" si="16"/>
        <v>-6301.0863863659097</v>
      </c>
      <c r="J50" s="47">
        <f t="shared" si="19"/>
        <v>-14060</v>
      </c>
      <c r="K50" s="47">
        <f t="shared" si="20"/>
        <v>-7388.0370554054225</v>
      </c>
      <c r="L50" s="47">
        <f t="shared" si="21"/>
        <v>-5656.1934057342778</v>
      </c>
      <c r="M50" s="47">
        <f t="shared" si="22"/>
        <v>35087.490080769276</v>
      </c>
      <c r="N50" s="47">
        <f t="shared" si="23"/>
        <v>30158.396616320639</v>
      </c>
      <c r="O50" s="34"/>
      <c r="P50" s="35"/>
      <c r="Q50" s="35"/>
      <c r="R50" s="33"/>
      <c r="S50" s="43"/>
      <c r="T50" s="19"/>
      <c r="U50" s="27">
        <f t="shared" si="24"/>
        <v>35087.490080769276</v>
      </c>
      <c r="V50" s="28">
        <f t="shared" si="24"/>
        <v>30158.396616320639</v>
      </c>
      <c r="W50" s="43"/>
      <c r="X50" s="19"/>
      <c r="Y50" s="42">
        <f t="shared" si="17"/>
        <v>0</v>
      </c>
      <c r="Z50" s="42">
        <f t="shared" si="17"/>
        <v>0</v>
      </c>
    </row>
    <row r="51" spans="1:26" hidden="1" outlineLevel="1" x14ac:dyDescent="0.25">
      <c r="A51" s="18"/>
      <c r="B51" s="38">
        <f t="shared" si="4"/>
        <v>19</v>
      </c>
      <c r="C51" s="54">
        <f t="shared" si="18"/>
        <v>109.90546238297648</v>
      </c>
      <c r="D51" s="33">
        <f>C51*VLOOKUP($A$33,Ταρίφες!$A$6:$G$23,$K$6,FALSE)*(1+$F$3)^(B51-1)</f>
        <v>56051.785815318006</v>
      </c>
      <c r="E51" s="33">
        <f>C51*VLOOKUP($A$33,Ταρίφες!$A$6:$G$23,$K$7,FALSE)*(1+$F$3)^(B51-1)</f>
        <v>49457.458072339417</v>
      </c>
      <c r="F51" s="46">
        <f t="shared" si="13"/>
        <v>-2856.4924951525454</v>
      </c>
      <c r="G51" s="47">
        <f t="shared" si="14"/>
        <v>-1142.5969980610182</v>
      </c>
      <c r="H51" s="47">
        <f t="shared" si="15"/>
        <v>-3999.0894932135634</v>
      </c>
      <c r="I51" s="46">
        <f t="shared" si="16"/>
        <v>-6427.1081140932274</v>
      </c>
      <c r="J51" s="47">
        <f t="shared" si="19"/>
        <v>-14060</v>
      </c>
      <c r="K51" s="47">
        <f t="shared" si="20"/>
        <v>-7167.2896658473892</v>
      </c>
      <c r="L51" s="47">
        <f t="shared" si="21"/>
        <v>-5452.7644526729564</v>
      </c>
      <c r="M51" s="47">
        <f t="shared" si="22"/>
        <v>34459.209048950259</v>
      </c>
      <c r="N51" s="47">
        <f t="shared" si="23"/>
        <v>29579.406519146105</v>
      </c>
      <c r="O51" s="34"/>
      <c r="P51" s="35"/>
      <c r="Q51" s="35"/>
      <c r="R51" s="33"/>
      <c r="S51" s="43"/>
      <c r="T51" s="19"/>
      <c r="U51" s="27">
        <f t="shared" si="24"/>
        <v>34459.209048950259</v>
      </c>
      <c r="V51" s="28">
        <f t="shared" si="24"/>
        <v>29579.406519146105</v>
      </c>
      <c r="W51" s="43"/>
      <c r="X51" s="19"/>
      <c r="Y51" s="42">
        <f t="shared" si="17"/>
        <v>0</v>
      </c>
      <c r="Z51" s="42">
        <f t="shared" si="17"/>
        <v>0</v>
      </c>
    </row>
    <row r="52" spans="1:26" hidden="1" outlineLevel="1" x14ac:dyDescent="0.25">
      <c r="A52" s="18"/>
      <c r="B52" s="38">
        <f t="shared" si="4"/>
        <v>20</v>
      </c>
      <c r="C52" s="54">
        <f t="shared" si="18"/>
        <v>108.80640775914671</v>
      </c>
      <c r="D52" s="33">
        <f>C52*VLOOKUP($A$33,Ταρίφες!$A$6:$G$23,$K$6,FALSE)*(1+$F$3)^(B52-1)</f>
        <v>55491.267957164819</v>
      </c>
      <c r="E52" s="33">
        <f>C52*VLOOKUP($A$33,Ταρίφες!$A$6:$G$23,$K$7,FALSE)*(1+$F$3)^(B52-1)</f>
        <v>48962.883491616019</v>
      </c>
      <c r="F52" s="46">
        <f t="shared" si="13"/>
        <v>-2913.6223450555963</v>
      </c>
      <c r="G52" s="47">
        <f t="shared" si="14"/>
        <v>-1165.4489380222385</v>
      </c>
      <c r="H52" s="47">
        <f t="shared" si="15"/>
        <v>-4079.0712830778348</v>
      </c>
      <c r="I52" s="46">
        <f t="shared" si="16"/>
        <v>-6555.6502763750914</v>
      </c>
      <c r="J52" s="47">
        <f t="shared" si="19"/>
        <v>-14060</v>
      </c>
      <c r="K52" s="47">
        <f t="shared" si="20"/>
        <v>-6946.5435298048551</v>
      </c>
      <c r="L52" s="47">
        <f t="shared" si="21"/>
        <v>-5249.1635687621674</v>
      </c>
      <c r="M52" s="47">
        <f t="shared" si="22"/>
        <v>33830.931584829203</v>
      </c>
      <c r="N52" s="47">
        <f t="shared" si="23"/>
        <v>28999.92708032309</v>
      </c>
      <c r="O52" s="34"/>
      <c r="P52" s="35"/>
      <c r="Q52" s="35"/>
      <c r="R52" s="33"/>
      <c r="S52" s="43"/>
      <c r="T52" s="19"/>
      <c r="U52" s="27">
        <f>M52</f>
        <v>33830.931584829203</v>
      </c>
      <c r="V52" s="28">
        <f t="shared" ref="V52" si="25">N52</f>
        <v>28999.92708032309</v>
      </c>
      <c r="W52" s="43"/>
      <c r="X52" s="19"/>
      <c r="Y52" s="42">
        <f t="shared" si="17"/>
        <v>0</v>
      </c>
      <c r="Z52" s="42">
        <f t="shared" si="17"/>
        <v>0</v>
      </c>
    </row>
    <row r="53" spans="1:26" hidden="1" outlineLevel="1" x14ac:dyDescent="0.25">
      <c r="A53" s="40"/>
      <c r="B53" s="50"/>
      <c r="C53" s="56"/>
      <c r="D53" s="22"/>
      <c r="E53" s="22"/>
      <c r="F53" s="48"/>
      <c r="G53" s="51"/>
      <c r="H53" s="51"/>
      <c r="I53" s="48"/>
      <c r="J53" s="51"/>
      <c r="K53" s="51"/>
      <c r="L53" s="51"/>
      <c r="M53" s="51"/>
      <c r="N53" s="51"/>
      <c r="O53" s="17"/>
      <c r="P53" s="25"/>
      <c r="Q53" s="25"/>
      <c r="R53" s="22"/>
      <c r="S53" s="52"/>
      <c r="T53" s="44"/>
      <c r="U53" s="26">
        <f>O54</f>
        <v>-322750</v>
      </c>
      <c r="V53" s="26">
        <f>R54</f>
        <v>-255437.5</v>
      </c>
      <c r="W53" s="52"/>
      <c r="X53" s="44"/>
      <c r="Y53" s="42">
        <f t="shared" si="17"/>
        <v>0</v>
      </c>
      <c r="Z53" s="42">
        <f t="shared" si="17"/>
        <v>0</v>
      </c>
    </row>
    <row r="54" spans="1:26" collapsed="1" x14ac:dyDescent="0.25">
      <c r="A54" s="32" t="str">
        <f>Ταρίφες!A12</f>
        <v>Γ Τριμ. 2010</v>
      </c>
      <c r="B54" s="38">
        <f>1</f>
        <v>1</v>
      </c>
      <c r="C54" s="54">
        <f>$F$8*$K$2/1000</f>
        <v>131.69999999999999</v>
      </c>
      <c r="D54" s="33">
        <f>C54*VLOOKUP($A$54,Ταρίφες!$A$6:$G$23,$K$6,FALSE)*(1+$F$3)^(B54-1)</f>
        <v>67167</v>
      </c>
      <c r="E54" s="33">
        <f>C54*VLOOKUP($A$54,Ταρίφες!$A$6:$G$23,$K$7,FALSE)*(1+$F$3)^(B54-1)</f>
        <v>57947.999999999993</v>
      </c>
      <c r="F54" s="46">
        <f t="shared" ref="F54:F73" si="26">-($K$5*(1+$F$4)^(B54-$B$12))</f>
        <v>-2000</v>
      </c>
      <c r="G54" s="47">
        <f t="shared" ref="G54:G73" si="27">-$K$2*10*(1+$F$4)^(B54-$B$12)</f>
        <v>-800</v>
      </c>
      <c r="H54" s="47">
        <f t="shared" ref="H54:H73" si="28">-$K$4*(1+$F$4)^(B54-$B$12)</f>
        <v>-2800</v>
      </c>
      <c r="I54" s="46">
        <f t="shared" ref="I54:I73" si="29">-(4500*(1+$F$4)^(B54-$B$12))</f>
        <v>-4500</v>
      </c>
      <c r="J54" s="47">
        <f>$O$54*4%</f>
        <v>-12910</v>
      </c>
      <c r="K54" s="47">
        <f>-(D54+SUM(F54:J54))*$F$5</f>
        <v>-11480.82</v>
      </c>
      <c r="L54" s="47">
        <f>-(E54+SUM(F54:J54))*$F$5</f>
        <v>-9083.8799999999992</v>
      </c>
      <c r="M54" s="47">
        <f>D54+SUM(F54:I54)+K54</f>
        <v>45586.18</v>
      </c>
      <c r="N54" s="47">
        <f>E54+SUM(F54:I54)+L54</f>
        <v>38764.119999999995</v>
      </c>
      <c r="O54" s="35">
        <f>-VLOOKUP(A54,'Κόστος Κατασκευής'!$A$4:$Q$17,$K$8,FALSE)</f>
        <v>-322750</v>
      </c>
      <c r="P54" s="36">
        <f>$K$3</f>
        <v>96000</v>
      </c>
      <c r="Q54" s="36">
        <f>Q33*15/16</f>
        <v>-28687.500000000004</v>
      </c>
      <c r="R54" s="37">
        <f>SUM(O54:Q54)</f>
        <v>-255437.5</v>
      </c>
      <c r="S54" s="42">
        <f>IRR(U53:U73)</f>
        <v>0.11421248177546928</v>
      </c>
      <c r="T54" s="42">
        <f>IRR(V53:V73)</f>
        <v>0.12548985592077866</v>
      </c>
      <c r="U54" s="27">
        <f>M54</f>
        <v>45586.18</v>
      </c>
      <c r="V54" s="28">
        <f>N54</f>
        <v>38764.119999999995</v>
      </c>
      <c r="W54" s="42">
        <f>'IRR ΔΣ Ισχύον'!S54</f>
        <v>0.11969630145193899</v>
      </c>
      <c r="X54" s="42">
        <f>'IRR ΔΣ Ισχύον'!T54</f>
        <v>0.12286245717775035</v>
      </c>
      <c r="Y54" s="42">
        <f t="shared" si="17"/>
        <v>-5.4838196764697145E-3</v>
      </c>
      <c r="Z54" s="42">
        <f t="shared" si="17"/>
        <v>2.6273987430283086E-3</v>
      </c>
    </row>
    <row r="55" spans="1:26" hidden="1" outlineLevel="1" x14ac:dyDescent="0.25">
      <c r="A55" s="18"/>
      <c r="B55" s="38">
        <f>B54+1</f>
        <v>2</v>
      </c>
      <c r="C55" s="54">
        <f t="shared" ref="C55:C73" si="30">C54*(1-$F$2)</f>
        <v>130.38299999999998</v>
      </c>
      <c r="D55" s="33">
        <f>C55*VLOOKUP($A$54,Ταρίφες!$A$6:$G$23,$K$6,FALSE)*(1+$F$3)^(B55-1)</f>
        <v>66495.329999999987</v>
      </c>
      <c r="E55" s="33">
        <f>C55*VLOOKUP($A$54,Ταρίφες!$A$6:$G$23,$K$7,FALSE)*(1+$F$3)^(B55-1)</f>
        <v>57368.51999999999</v>
      </c>
      <c r="F55" s="46">
        <f t="shared" si="26"/>
        <v>-2040</v>
      </c>
      <c r="G55" s="47">
        <f t="shared" si="27"/>
        <v>-816</v>
      </c>
      <c r="H55" s="47">
        <f t="shared" si="28"/>
        <v>-2856</v>
      </c>
      <c r="I55" s="46">
        <f t="shared" si="29"/>
        <v>-4590</v>
      </c>
      <c r="J55" s="47">
        <f t="shared" ref="J55:J73" si="31">$O$54*4%</f>
        <v>-12910</v>
      </c>
      <c r="K55" s="47">
        <f t="shared" ref="K55:K73" si="32">-(D55+SUM(F55:J55))*$F$5</f>
        <v>-11253.665799999997</v>
      </c>
      <c r="L55" s="47">
        <f t="shared" ref="L55:L73" si="33">-(E55+SUM(F55:J55))*$F$5</f>
        <v>-8880.6951999999983</v>
      </c>
      <c r="M55" s="47">
        <f t="shared" ref="M55:M73" si="34">D55+SUM(F55:I55)+K55</f>
        <v>44939.664199999992</v>
      </c>
      <c r="N55" s="47">
        <f t="shared" ref="N55:N73" si="35">E55+SUM(F55:I55)+L55</f>
        <v>38185.824799999988</v>
      </c>
      <c r="O55" s="34"/>
      <c r="P55" s="35"/>
      <c r="Q55" s="35"/>
      <c r="R55" s="33"/>
      <c r="S55" s="43"/>
      <c r="T55" s="19"/>
      <c r="U55" s="27">
        <f t="shared" ref="U55:V72" si="36">M55</f>
        <v>44939.664199999992</v>
      </c>
      <c r="V55" s="28">
        <f t="shared" si="36"/>
        <v>38185.824799999988</v>
      </c>
      <c r="W55" s="43"/>
      <c r="X55" s="19"/>
      <c r="Y55" s="42">
        <f t="shared" si="17"/>
        <v>0</v>
      </c>
      <c r="Z55" s="42">
        <f t="shared" si="17"/>
        <v>0</v>
      </c>
    </row>
    <row r="56" spans="1:26" hidden="1" outlineLevel="1" x14ac:dyDescent="0.25">
      <c r="A56" s="18"/>
      <c r="B56" s="38">
        <f t="shared" ref="B56:B73" si="37">B55+1</f>
        <v>3</v>
      </c>
      <c r="C56" s="54">
        <f t="shared" si="30"/>
        <v>129.07916999999998</v>
      </c>
      <c r="D56" s="33">
        <f>C56*VLOOKUP($A$54,Ταρίφες!$A$6:$G$23,$K$6,FALSE)*(1+$F$3)^(B56-1)</f>
        <v>65830.376699999993</v>
      </c>
      <c r="E56" s="33">
        <f>C56*VLOOKUP($A$54,Ταρίφες!$A$6:$G$23,$K$7,FALSE)*(1+$F$3)^(B56-1)</f>
        <v>56794.83479999999</v>
      </c>
      <c r="F56" s="46">
        <f t="shared" si="26"/>
        <v>-2080.8000000000002</v>
      </c>
      <c r="G56" s="47">
        <f t="shared" si="27"/>
        <v>-832.31999999999994</v>
      </c>
      <c r="H56" s="47">
        <f t="shared" si="28"/>
        <v>-2913.12</v>
      </c>
      <c r="I56" s="46">
        <f t="shared" si="29"/>
        <v>-4681.8</v>
      </c>
      <c r="J56" s="47">
        <f t="shared" si="31"/>
        <v>-12910</v>
      </c>
      <c r="K56" s="47">
        <f t="shared" si="32"/>
        <v>-11027.207541999998</v>
      </c>
      <c r="L56" s="47">
        <f t="shared" si="33"/>
        <v>-8677.9666479999978</v>
      </c>
      <c r="M56" s="47">
        <f t="shared" si="34"/>
        <v>44295.129157999996</v>
      </c>
      <c r="N56" s="47">
        <f t="shared" si="35"/>
        <v>37608.828151999987</v>
      </c>
      <c r="O56" s="34"/>
      <c r="P56" s="35"/>
      <c r="Q56" s="35"/>
      <c r="R56" s="33"/>
      <c r="S56" s="43"/>
      <c r="T56" s="19"/>
      <c r="U56" s="27">
        <f t="shared" si="36"/>
        <v>44295.129157999996</v>
      </c>
      <c r="V56" s="28">
        <f t="shared" si="36"/>
        <v>37608.828151999987</v>
      </c>
      <c r="W56" s="43"/>
      <c r="X56" s="19"/>
      <c r="Y56" s="42">
        <f t="shared" si="17"/>
        <v>0</v>
      </c>
      <c r="Z56" s="42">
        <f t="shared" si="17"/>
        <v>0</v>
      </c>
    </row>
    <row r="57" spans="1:26" hidden="1" outlineLevel="1" x14ac:dyDescent="0.25">
      <c r="A57" s="18"/>
      <c r="B57" s="38">
        <f t="shared" si="37"/>
        <v>4</v>
      </c>
      <c r="C57" s="54">
        <f t="shared" si="30"/>
        <v>127.78837829999998</v>
      </c>
      <c r="D57" s="33">
        <f>C57*VLOOKUP($A$54,Ταρίφες!$A$6:$G$23,$K$6,FALSE)*(1+$F$3)^(B57-1)</f>
        <v>65172.072932999989</v>
      </c>
      <c r="E57" s="33">
        <f>C57*VLOOKUP($A$54,Ταρίφες!$A$6:$G$23,$K$7,FALSE)*(1+$F$3)^(B57-1)</f>
        <v>56226.886451999992</v>
      </c>
      <c r="F57" s="46">
        <f t="shared" si="26"/>
        <v>-2122.4159999999997</v>
      </c>
      <c r="G57" s="47">
        <f t="shared" si="27"/>
        <v>-848.96639999999991</v>
      </c>
      <c r="H57" s="47">
        <f t="shared" si="28"/>
        <v>-2971.3824</v>
      </c>
      <c r="I57" s="46">
        <f t="shared" si="29"/>
        <v>-4775.4359999999997</v>
      </c>
      <c r="J57" s="47">
        <f t="shared" si="31"/>
        <v>-12910</v>
      </c>
      <c r="K57" s="47">
        <f t="shared" si="32"/>
        <v>-10801.406754579997</v>
      </c>
      <c r="L57" s="47">
        <f t="shared" si="33"/>
        <v>-8475.6582695199977</v>
      </c>
      <c r="M57" s="47">
        <f t="shared" si="34"/>
        <v>43652.465378419991</v>
      </c>
      <c r="N57" s="47">
        <f t="shared" si="35"/>
        <v>37033.027382479995</v>
      </c>
      <c r="O57" s="34"/>
      <c r="P57" s="35"/>
      <c r="Q57" s="35"/>
      <c r="R57" s="33"/>
      <c r="S57" s="43"/>
      <c r="T57" s="19"/>
      <c r="U57" s="27">
        <f t="shared" si="36"/>
        <v>43652.465378419991</v>
      </c>
      <c r="V57" s="28">
        <f t="shared" si="36"/>
        <v>37033.027382479995</v>
      </c>
      <c r="W57" s="43"/>
      <c r="X57" s="19"/>
      <c r="Y57" s="42">
        <f t="shared" si="17"/>
        <v>0</v>
      </c>
      <c r="Z57" s="42">
        <f t="shared" si="17"/>
        <v>0</v>
      </c>
    </row>
    <row r="58" spans="1:26" hidden="1" outlineLevel="1" x14ac:dyDescent="0.25">
      <c r="A58" s="18"/>
      <c r="B58" s="38">
        <f t="shared" si="37"/>
        <v>5</v>
      </c>
      <c r="C58" s="54">
        <f t="shared" si="30"/>
        <v>126.51049451699997</v>
      </c>
      <c r="D58" s="33">
        <f>C58*VLOOKUP($A$54,Ταρίφες!$A$6:$G$23,$K$6,FALSE)*(1+$F$3)^(B58-1)</f>
        <v>64520.352203669987</v>
      </c>
      <c r="E58" s="33">
        <f>C58*VLOOKUP($A$54,Ταρίφες!$A$6:$G$23,$K$7,FALSE)*(1+$F$3)^(B58-1)</f>
        <v>55664.617587479988</v>
      </c>
      <c r="F58" s="46">
        <f t="shared" si="26"/>
        <v>-2164.8643200000001</v>
      </c>
      <c r="G58" s="47">
        <f t="shared" si="27"/>
        <v>-865.94572800000003</v>
      </c>
      <c r="H58" s="47">
        <f t="shared" si="28"/>
        <v>-3030.8100479999998</v>
      </c>
      <c r="I58" s="46">
        <f t="shared" si="29"/>
        <v>-4870.9447199999995</v>
      </c>
      <c r="J58" s="47">
        <f t="shared" si="31"/>
        <v>-12910</v>
      </c>
      <c r="K58" s="47">
        <f t="shared" si="32"/>
        <v>-10576.224720794198</v>
      </c>
      <c r="L58" s="47">
        <f t="shared" si="33"/>
        <v>-8273.733720584798</v>
      </c>
      <c r="M58" s="47">
        <f t="shared" si="34"/>
        <v>43011.56266687579</v>
      </c>
      <c r="N58" s="47">
        <f t="shared" si="35"/>
        <v>36458.319050895196</v>
      </c>
      <c r="O58" s="34"/>
      <c r="P58" s="35"/>
      <c r="Q58" s="35"/>
      <c r="R58" s="33"/>
      <c r="S58" s="43"/>
      <c r="T58" s="19"/>
      <c r="U58" s="27">
        <f t="shared" si="36"/>
        <v>43011.56266687579</v>
      </c>
      <c r="V58" s="28">
        <f t="shared" si="36"/>
        <v>36458.319050895196</v>
      </c>
      <c r="W58" s="43"/>
      <c r="X58" s="19"/>
      <c r="Y58" s="42">
        <f t="shared" si="17"/>
        <v>0</v>
      </c>
      <c r="Z58" s="42">
        <f t="shared" si="17"/>
        <v>0</v>
      </c>
    </row>
    <row r="59" spans="1:26" hidden="1" outlineLevel="1" x14ac:dyDescent="0.25">
      <c r="A59" s="18"/>
      <c r="B59" s="38">
        <f t="shared" si="37"/>
        <v>6</v>
      </c>
      <c r="C59" s="54">
        <f t="shared" si="30"/>
        <v>125.24538957182997</v>
      </c>
      <c r="D59" s="33">
        <f>C59*VLOOKUP($A$54,Ταρίφες!$A$6:$G$23,$K$6,FALSE)*(1+$F$3)^(B59-1)</f>
        <v>63875.148681633284</v>
      </c>
      <c r="E59" s="33">
        <f>C59*VLOOKUP($A$54,Ταρίφες!$A$6:$G$23,$K$7,FALSE)*(1+$F$3)^(B59-1)</f>
        <v>55107.971411605191</v>
      </c>
      <c r="F59" s="46">
        <f t="shared" si="26"/>
        <v>-2208.1616064</v>
      </c>
      <c r="G59" s="47">
        <f t="shared" si="27"/>
        <v>-883.26464255999997</v>
      </c>
      <c r="H59" s="47">
        <f t="shared" si="28"/>
        <v>-3091.4262489600001</v>
      </c>
      <c r="I59" s="46">
        <f t="shared" si="29"/>
        <v>-4968.3636144000002</v>
      </c>
      <c r="J59" s="47">
        <f t="shared" si="31"/>
        <v>-12910</v>
      </c>
      <c r="K59" s="47">
        <f t="shared" si="32"/>
        <v>-10351.622468021455</v>
      </c>
      <c r="L59" s="47">
        <f t="shared" si="33"/>
        <v>-8072.1563778141499</v>
      </c>
      <c r="M59" s="47">
        <f t="shared" si="34"/>
        <v>42372.310101291834</v>
      </c>
      <c r="N59" s="47">
        <f t="shared" si="35"/>
        <v>35884.598921471043</v>
      </c>
      <c r="O59" s="34"/>
      <c r="P59" s="35"/>
      <c r="Q59" s="35"/>
      <c r="R59" s="33"/>
      <c r="S59" s="43"/>
      <c r="T59" s="19"/>
      <c r="U59" s="27">
        <f t="shared" si="36"/>
        <v>42372.310101291834</v>
      </c>
      <c r="V59" s="28">
        <f t="shared" si="36"/>
        <v>35884.598921471043</v>
      </c>
      <c r="W59" s="43"/>
      <c r="X59" s="19"/>
      <c r="Y59" s="42">
        <f t="shared" si="17"/>
        <v>0</v>
      </c>
      <c r="Z59" s="42">
        <f t="shared" si="17"/>
        <v>0</v>
      </c>
    </row>
    <row r="60" spans="1:26" hidden="1" outlineLevel="1" x14ac:dyDescent="0.25">
      <c r="A60" s="18"/>
      <c r="B60" s="38">
        <f t="shared" si="37"/>
        <v>7</v>
      </c>
      <c r="C60" s="54">
        <f t="shared" si="30"/>
        <v>123.99293567611167</v>
      </c>
      <c r="D60" s="33">
        <f>C60*VLOOKUP($A$54,Ταρίφες!$A$6:$G$23,$K$6,FALSE)*(1+$F$3)^(B60-1)</f>
        <v>63236.397194816949</v>
      </c>
      <c r="E60" s="33">
        <f>C60*VLOOKUP($A$54,Ταρίφες!$A$6:$G$23,$K$7,FALSE)*(1+$F$3)^(B60-1)</f>
        <v>54556.891697489133</v>
      </c>
      <c r="F60" s="46">
        <f t="shared" si="26"/>
        <v>-2252.3248385280003</v>
      </c>
      <c r="G60" s="47">
        <f t="shared" si="27"/>
        <v>-900.92993541120006</v>
      </c>
      <c r="H60" s="47">
        <f t="shared" si="28"/>
        <v>-3153.2547739392003</v>
      </c>
      <c r="I60" s="46">
        <f t="shared" si="29"/>
        <v>-5067.7308866880003</v>
      </c>
      <c r="J60" s="47">
        <f t="shared" si="31"/>
        <v>-12910</v>
      </c>
      <c r="K60" s="47">
        <f t="shared" si="32"/>
        <v>-10127.560757665144</v>
      </c>
      <c r="L60" s="47">
        <f t="shared" si="33"/>
        <v>-7870.8893283599109</v>
      </c>
      <c r="M60" s="47">
        <f t="shared" si="34"/>
        <v>41734.596002585407</v>
      </c>
      <c r="N60" s="47">
        <f t="shared" si="35"/>
        <v>35311.761934562826</v>
      </c>
      <c r="O60" s="34"/>
      <c r="P60" s="35"/>
      <c r="Q60" s="35"/>
      <c r="R60" s="33"/>
      <c r="S60" s="43"/>
      <c r="T60" s="19"/>
      <c r="U60" s="27">
        <f t="shared" si="36"/>
        <v>41734.596002585407</v>
      </c>
      <c r="V60" s="28">
        <f t="shared" si="36"/>
        <v>35311.761934562826</v>
      </c>
      <c r="W60" s="43"/>
      <c r="X60" s="19"/>
      <c r="Y60" s="42">
        <f t="shared" si="17"/>
        <v>0</v>
      </c>
      <c r="Z60" s="42">
        <f t="shared" si="17"/>
        <v>0</v>
      </c>
    </row>
    <row r="61" spans="1:26" hidden="1" outlineLevel="1" x14ac:dyDescent="0.25">
      <c r="A61" s="18"/>
      <c r="B61" s="38">
        <f t="shared" si="37"/>
        <v>8</v>
      </c>
      <c r="C61" s="54">
        <f t="shared" si="30"/>
        <v>122.75300631935055</v>
      </c>
      <c r="D61" s="33">
        <f>C61*VLOOKUP($A$54,Ταρίφες!$A$6:$G$23,$K$6,FALSE)*(1+$F$3)^(B61-1)</f>
        <v>62604.033222868777</v>
      </c>
      <c r="E61" s="33">
        <f>C61*VLOOKUP($A$54,Ταρίφες!$A$6:$G$23,$K$7,FALSE)*(1+$F$3)^(B61-1)</f>
        <v>54011.322780514238</v>
      </c>
      <c r="F61" s="46">
        <f t="shared" si="26"/>
        <v>-2297.3713352985596</v>
      </c>
      <c r="G61" s="47">
        <f t="shared" si="27"/>
        <v>-918.94853411942381</v>
      </c>
      <c r="H61" s="47">
        <f t="shared" si="28"/>
        <v>-3216.3198694179837</v>
      </c>
      <c r="I61" s="46">
        <f t="shared" si="29"/>
        <v>-5169.0855044217587</v>
      </c>
      <c r="J61" s="47">
        <f t="shared" si="31"/>
        <v>-12910</v>
      </c>
      <c r="K61" s="47">
        <f t="shared" si="32"/>
        <v>-9904.0000746988753</v>
      </c>
      <c r="L61" s="47">
        <f t="shared" si="33"/>
        <v>-7669.8953596866932</v>
      </c>
      <c r="M61" s="47">
        <f t="shared" si="34"/>
        <v>41098.307904912181</v>
      </c>
      <c r="N61" s="47">
        <f t="shared" si="35"/>
        <v>34739.702177569823</v>
      </c>
      <c r="O61" s="34"/>
      <c r="P61" s="35"/>
      <c r="Q61" s="35"/>
      <c r="R61" s="33"/>
      <c r="S61" s="43"/>
      <c r="T61" s="19"/>
      <c r="U61" s="27">
        <f t="shared" si="36"/>
        <v>41098.307904912181</v>
      </c>
      <c r="V61" s="28">
        <f t="shared" si="36"/>
        <v>34739.702177569823</v>
      </c>
      <c r="W61" s="43"/>
      <c r="X61" s="19"/>
      <c r="Y61" s="42">
        <f t="shared" si="17"/>
        <v>0</v>
      </c>
      <c r="Z61" s="42">
        <f t="shared" si="17"/>
        <v>0</v>
      </c>
    </row>
    <row r="62" spans="1:26" hidden="1" outlineLevel="1" x14ac:dyDescent="0.25">
      <c r="A62" s="18"/>
      <c r="B62" s="38">
        <f t="shared" si="37"/>
        <v>9</v>
      </c>
      <c r="C62" s="54">
        <f t="shared" si="30"/>
        <v>121.52547625615703</v>
      </c>
      <c r="D62" s="33">
        <f>C62*VLOOKUP($A$54,Ταρίφες!$A$6:$G$23,$K$6,FALSE)*(1+$F$3)^(B62-1)</f>
        <v>61977.992890640089</v>
      </c>
      <c r="E62" s="33">
        <f>C62*VLOOKUP($A$54,Ταρίφες!$A$6:$G$23,$K$7,FALSE)*(1+$F$3)^(B62-1)</f>
        <v>53471.209552709093</v>
      </c>
      <c r="F62" s="46">
        <f t="shared" si="26"/>
        <v>-2343.318762004531</v>
      </c>
      <c r="G62" s="47">
        <f t="shared" si="27"/>
        <v>-937.32750480181244</v>
      </c>
      <c r="H62" s="47">
        <f t="shared" si="28"/>
        <v>-3280.6462668063436</v>
      </c>
      <c r="I62" s="46">
        <f t="shared" si="29"/>
        <v>-5272.4672145101949</v>
      </c>
      <c r="J62" s="47">
        <f t="shared" si="31"/>
        <v>-12910</v>
      </c>
      <c r="K62" s="47">
        <f t="shared" si="32"/>
        <v>-9680.9006170544744</v>
      </c>
      <c r="L62" s="47">
        <f t="shared" si="33"/>
        <v>-7469.1369491924152</v>
      </c>
      <c r="M62" s="47">
        <f t="shared" si="34"/>
        <v>40463.332525462734</v>
      </c>
      <c r="N62" s="47">
        <f t="shared" si="35"/>
        <v>34168.3128553938</v>
      </c>
      <c r="O62" s="34"/>
      <c r="P62" s="35"/>
      <c r="Q62" s="35"/>
      <c r="R62" s="33"/>
      <c r="S62" s="43"/>
      <c r="T62" s="19"/>
      <c r="U62" s="27">
        <f t="shared" si="36"/>
        <v>40463.332525462734</v>
      </c>
      <c r="V62" s="28">
        <f t="shared" si="36"/>
        <v>34168.3128553938</v>
      </c>
      <c r="W62" s="43"/>
      <c r="X62" s="19"/>
      <c r="Y62" s="42">
        <f t="shared" si="17"/>
        <v>0</v>
      </c>
      <c r="Z62" s="42">
        <f t="shared" si="17"/>
        <v>0</v>
      </c>
    </row>
    <row r="63" spans="1:26" hidden="1" outlineLevel="1" x14ac:dyDescent="0.25">
      <c r="A63" s="18"/>
      <c r="B63" s="38">
        <f t="shared" si="37"/>
        <v>10</v>
      </c>
      <c r="C63" s="54">
        <f t="shared" si="30"/>
        <v>120.31022149359546</v>
      </c>
      <c r="D63" s="33">
        <f>C63*VLOOKUP($A$54,Ταρίφες!$A$6:$G$23,$K$6,FALSE)*(1+$F$3)^(B63-1)</f>
        <v>61358.212961733683</v>
      </c>
      <c r="E63" s="33">
        <f>C63*VLOOKUP($A$54,Ταρίφες!$A$6:$G$23,$K$7,FALSE)*(1+$F$3)^(B63-1)</f>
        <v>52936.497457182006</v>
      </c>
      <c r="F63" s="46">
        <f t="shared" si="26"/>
        <v>-2390.1851372446217</v>
      </c>
      <c r="G63" s="47">
        <f t="shared" si="27"/>
        <v>-956.07405489784867</v>
      </c>
      <c r="H63" s="47">
        <f t="shared" si="28"/>
        <v>-3346.2591921424705</v>
      </c>
      <c r="I63" s="46">
        <f t="shared" si="29"/>
        <v>-5377.9165588003989</v>
      </c>
      <c r="J63" s="47">
        <f t="shared" si="31"/>
        <v>-12910</v>
      </c>
      <c r="K63" s="47">
        <f t="shared" si="32"/>
        <v>-9458.222284848569</v>
      </c>
      <c r="L63" s="47">
        <f t="shared" si="33"/>
        <v>-7268.5762536651337</v>
      </c>
      <c r="M63" s="47">
        <f t="shared" si="34"/>
        <v>39829.555733799774</v>
      </c>
      <c r="N63" s="47">
        <f t="shared" si="35"/>
        <v>33597.486260431535</v>
      </c>
      <c r="O63" s="34"/>
      <c r="P63" s="35"/>
      <c r="Q63" s="35"/>
      <c r="R63" s="33"/>
      <c r="S63" s="43"/>
      <c r="T63" s="19"/>
      <c r="U63" s="27">
        <f t="shared" si="36"/>
        <v>39829.555733799774</v>
      </c>
      <c r="V63" s="28">
        <f t="shared" si="36"/>
        <v>33597.486260431535</v>
      </c>
      <c r="W63" s="43"/>
      <c r="X63" s="19"/>
      <c r="Y63" s="42">
        <f t="shared" si="17"/>
        <v>0</v>
      </c>
      <c r="Z63" s="42">
        <f t="shared" si="17"/>
        <v>0</v>
      </c>
    </row>
    <row r="64" spans="1:26" hidden="1" outlineLevel="1" x14ac:dyDescent="0.25">
      <c r="A64" s="18"/>
      <c r="B64" s="38">
        <f t="shared" si="37"/>
        <v>11</v>
      </c>
      <c r="C64" s="54">
        <f t="shared" si="30"/>
        <v>119.10711927865951</v>
      </c>
      <c r="D64" s="33">
        <f>C64*VLOOKUP($A$54,Ταρίφες!$A$6:$G$23,$K$6,FALSE)*(1+$F$3)^(B64-1)</f>
        <v>60744.630832116352</v>
      </c>
      <c r="E64" s="33">
        <f>C64*VLOOKUP($A$54,Ταρίφες!$A$6:$G$23,$K$7,FALSE)*(1+$F$3)^(B64-1)</f>
        <v>52407.132482610185</v>
      </c>
      <c r="F64" s="46">
        <f t="shared" si="26"/>
        <v>-2437.9888399895144</v>
      </c>
      <c r="G64" s="47">
        <f t="shared" si="27"/>
        <v>-975.1955359958057</v>
      </c>
      <c r="H64" s="47">
        <f t="shared" si="28"/>
        <v>-3413.18437598532</v>
      </c>
      <c r="I64" s="46">
        <f t="shared" si="29"/>
        <v>-5485.4748899764072</v>
      </c>
      <c r="J64" s="47">
        <f t="shared" si="31"/>
        <v>-12910</v>
      </c>
      <c r="K64" s="47">
        <f t="shared" si="32"/>
        <v>-9235.9246694440208</v>
      </c>
      <c r="L64" s="47">
        <f t="shared" si="33"/>
        <v>-7068.1750985724166</v>
      </c>
      <c r="M64" s="47">
        <f t="shared" si="34"/>
        <v>39196.862520725284</v>
      </c>
      <c r="N64" s="47">
        <f t="shared" si="35"/>
        <v>33027.113742090725</v>
      </c>
      <c r="O64" s="34"/>
      <c r="P64" s="35"/>
      <c r="Q64" s="35"/>
      <c r="R64" s="33"/>
      <c r="S64" s="43"/>
      <c r="T64" s="19"/>
      <c r="U64" s="27">
        <f t="shared" si="36"/>
        <v>39196.862520725284</v>
      </c>
      <c r="V64" s="28">
        <f t="shared" si="36"/>
        <v>33027.113742090725</v>
      </c>
      <c r="W64" s="43"/>
      <c r="X64" s="19"/>
      <c r="Y64" s="42">
        <f t="shared" si="17"/>
        <v>0</v>
      </c>
      <c r="Z64" s="42">
        <f t="shared" si="17"/>
        <v>0</v>
      </c>
    </row>
    <row r="65" spans="1:26" hidden="1" outlineLevel="1" x14ac:dyDescent="0.25">
      <c r="A65" s="18"/>
      <c r="B65" s="38">
        <f t="shared" si="37"/>
        <v>12</v>
      </c>
      <c r="C65" s="54">
        <f t="shared" si="30"/>
        <v>117.91604808587292</v>
      </c>
      <c r="D65" s="33">
        <f>C65*VLOOKUP($A$54,Ταρίφες!$A$6:$G$23,$K$6,FALSE)*(1+$F$3)^(B65-1)</f>
        <v>60137.184523795186</v>
      </c>
      <c r="E65" s="33">
        <f>C65*VLOOKUP($A$54,Ταρίφες!$A$6:$G$23,$K$7,FALSE)*(1+$F$3)^(B65-1)</f>
        <v>51883.061157784083</v>
      </c>
      <c r="F65" s="46">
        <f t="shared" si="26"/>
        <v>-2486.7486167893039</v>
      </c>
      <c r="G65" s="47">
        <f t="shared" si="27"/>
        <v>-994.69944671572159</v>
      </c>
      <c r="H65" s="47">
        <f t="shared" si="28"/>
        <v>-3481.4480635050259</v>
      </c>
      <c r="I65" s="46">
        <f t="shared" si="29"/>
        <v>-5595.1843877759338</v>
      </c>
      <c r="J65" s="47">
        <f t="shared" si="31"/>
        <v>-12910</v>
      </c>
      <c r="K65" s="47">
        <f t="shared" si="32"/>
        <v>-9013.9670423423922</v>
      </c>
      <c r="L65" s="47">
        <f t="shared" si="33"/>
        <v>-6867.8949671795053</v>
      </c>
      <c r="M65" s="47">
        <f t="shared" si="34"/>
        <v>38565.136966666803</v>
      </c>
      <c r="N65" s="47">
        <f t="shared" si="35"/>
        <v>32457.085675818591</v>
      </c>
      <c r="O65" s="34"/>
      <c r="P65" s="35"/>
      <c r="Q65" s="35"/>
      <c r="R65" s="33"/>
      <c r="S65" s="43"/>
      <c r="T65" s="19"/>
      <c r="U65" s="27">
        <f t="shared" si="36"/>
        <v>38565.136966666803</v>
      </c>
      <c r="V65" s="28">
        <f t="shared" si="36"/>
        <v>32457.085675818591</v>
      </c>
      <c r="W65" s="43"/>
      <c r="X65" s="19"/>
      <c r="Y65" s="42">
        <f t="shared" si="17"/>
        <v>0</v>
      </c>
      <c r="Z65" s="42">
        <f t="shared" si="17"/>
        <v>0</v>
      </c>
    </row>
    <row r="66" spans="1:26" hidden="1" outlineLevel="1" x14ac:dyDescent="0.25">
      <c r="A66" s="18"/>
      <c r="B66" s="38">
        <f t="shared" si="37"/>
        <v>13</v>
      </c>
      <c r="C66" s="54">
        <f t="shared" si="30"/>
        <v>116.73688760501419</v>
      </c>
      <c r="D66" s="33">
        <f>C66*VLOOKUP($A$54,Ταρίφες!$A$6:$G$23,$K$6,FALSE)*(1+$F$3)^(B66-1)</f>
        <v>59535.812678557239</v>
      </c>
      <c r="E66" s="33">
        <f>C66*VLOOKUP($A$54,Ταρίφες!$A$6:$G$23,$K$7,FALSE)*(1+$F$3)^(B66-1)</f>
        <v>51364.230546206243</v>
      </c>
      <c r="F66" s="46">
        <f t="shared" si="26"/>
        <v>-2536.4835891250905</v>
      </c>
      <c r="G66" s="47">
        <f t="shared" si="27"/>
        <v>-1014.5934356500362</v>
      </c>
      <c r="H66" s="47">
        <f t="shared" si="28"/>
        <v>-3551.0770247751266</v>
      </c>
      <c r="I66" s="46">
        <f t="shared" si="29"/>
        <v>-5707.0880755314538</v>
      </c>
      <c r="J66" s="47">
        <f t="shared" si="31"/>
        <v>-12910</v>
      </c>
      <c r="K66" s="47">
        <f t="shared" si="32"/>
        <v>-8792.3083439036382</v>
      </c>
      <c r="L66" s="47">
        <f t="shared" si="33"/>
        <v>-6667.6969894923795</v>
      </c>
      <c r="M66" s="47">
        <f t="shared" si="34"/>
        <v>37934.262209571898</v>
      </c>
      <c r="N66" s="47">
        <f t="shared" si="35"/>
        <v>31887.291431632158</v>
      </c>
      <c r="O66" s="34"/>
      <c r="P66" s="35"/>
      <c r="Q66" s="35"/>
      <c r="R66" s="33"/>
      <c r="S66" s="43"/>
      <c r="T66" s="19"/>
      <c r="U66" s="27">
        <f t="shared" si="36"/>
        <v>37934.262209571898</v>
      </c>
      <c r="V66" s="28">
        <f t="shared" si="36"/>
        <v>31887.291431632158</v>
      </c>
      <c r="W66" s="43"/>
      <c r="X66" s="19"/>
      <c r="Y66" s="42">
        <f t="shared" si="17"/>
        <v>0</v>
      </c>
      <c r="Z66" s="42">
        <f t="shared" si="17"/>
        <v>0</v>
      </c>
    </row>
    <row r="67" spans="1:26" hidden="1" outlineLevel="1" x14ac:dyDescent="0.25">
      <c r="A67" s="18"/>
      <c r="B67" s="38">
        <f t="shared" si="37"/>
        <v>14</v>
      </c>
      <c r="C67" s="54">
        <f t="shared" si="30"/>
        <v>115.56951872896404</v>
      </c>
      <c r="D67" s="33">
        <f>C67*VLOOKUP($A$54,Ταρίφες!$A$6:$G$23,$K$6,FALSE)*(1+$F$3)^(B67-1)</f>
        <v>58940.454551771661</v>
      </c>
      <c r="E67" s="33">
        <f>C67*VLOOKUP($A$54,Ταρίφες!$A$6:$G$23,$K$7,FALSE)*(1+$F$3)^(B67-1)</f>
        <v>50850.588240744175</v>
      </c>
      <c r="F67" s="46">
        <f t="shared" si="26"/>
        <v>-2587.213260907592</v>
      </c>
      <c r="G67" s="47">
        <f t="shared" si="27"/>
        <v>-1034.8853043630368</v>
      </c>
      <c r="H67" s="47">
        <f t="shared" si="28"/>
        <v>-3622.098565270629</v>
      </c>
      <c r="I67" s="46">
        <f t="shared" si="29"/>
        <v>-5821.2298370420822</v>
      </c>
      <c r="J67" s="47">
        <f t="shared" si="31"/>
        <v>-12910</v>
      </c>
      <c r="K67" s="47">
        <f t="shared" si="32"/>
        <v>-8570.9071718889645</v>
      </c>
      <c r="L67" s="47">
        <f t="shared" si="33"/>
        <v>-6467.5419310218176</v>
      </c>
      <c r="M67" s="47">
        <f t="shared" si="34"/>
        <v>37304.120412299366</v>
      </c>
      <c r="N67" s="47">
        <f t="shared" si="35"/>
        <v>31317.619342139016</v>
      </c>
      <c r="O67" s="34"/>
      <c r="P67" s="35"/>
      <c r="Q67" s="35"/>
      <c r="R67" s="33"/>
      <c r="S67" s="43"/>
      <c r="T67" s="19"/>
      <c r="U67" s="27">
        <f t="shared" si="36"/>
        <v>37304.120412299366</v>
      </c>
      <c r="V67" s="28">
        <f t="shared" si="36"/>
        <v>31317.619342139016</v>
      </c>
      <c r="W67" s="43"/>
      <c r="X67" s="19"/>
      <c r="Y67" s="42">
        <f t="shared" si="17"/>
        <v>0</v>
      </c>
      <c r="Z67" s="42">
        <f t="shared" si="17"/>
        <v>0</v>
      </c>
    </row>
    <row r="68" spans="1:26" hidden="1" outlineLevel="1" x14ac:dyDescent="0.25">
      <c r="A68" s="18"/>
      <c r="B68" s="38">
        <f t="shared" si="37"/>
        <v>15</v>
      </c>
      <c r="C68" s="54">
        <f t="shared" si="30"/>
        <v>114.4138235416744</v>
      </c>
      <c r="D68" s="33">
        <f>C68*VLOOKUP($A$54,Ταρίφες!$A$6:$G$23,$K$6,FALSE)*(1+$F$3)^(B68-1)</f>
        <v>58351.050006253943</v>
      </c>
      <c r="E68" s="33">
        <f>C68*VLOOKUP($A$54,Ταρίφες!$A$6:$G$23,$K$7,FALSE)*(1+$F$3)^(B68-1)</f>
        <v>50342.082358336738</v>
      </c>
      <c r="F68" s="46">
        <f t="shared" si="26"/>
        <v>-2638.9575261257442</v>
      </c>
      <c r="G68" s="47">
        <f t="shared" si="27"/>
        <v>-1055.5830104502977</v>
      </c>
      <c r="H68" s="47">
        <f t="shared" si="28"/>
        <v>-3694.5405365760421</v>
      </c>
      <c r="I68" s="46">
        <f t="shared" si="29"/>
        <v>-5937.6544337829246</v>
      </c>
      <c r="J68" s="47">
        <f t="shared" si="31"/>
        <v>-12910</v>
      </c>
      <c r="K68" s="47">
        <f t="shared" si="32"/>
        <v>-8349.7217698229233</v>
      </c>
      <c r="L68" s="47">
        <f t="shared" si="33"/>
        <v>-6267.3901813644497</v>
      </c>
      <c r="M68" s="47">
        <f t="shared" si="34"/>
        <v>36674.592729496013</v>
      </c>
      <c r="N68" s="47">
        <f t="shared" si="35"/>
        <v>30747.956670037282</v>
      </c>
      <c r="O68" s="34"/>
      <c r="P68" s="35"/>
      <c r="Q68" s="35"/>
      <c r="R68" s="33"/>
      <c r="S68" s="43"/>
      <c r="T68" s="19"/>
      <c r="U68" s="27">
        <f t="shared" si="36"/>
        <v>36674.592729496013</v>
      </c>
      <c r="V68" s="28">
        <f t="shared" si="36"/>
        <v>30747.956670037282</v>
      </c>
      <c r="W68" s="43"/>
      <c r="X68" s="19"/>
      <c r="Y68" s="42">
        <f t="shared" si="17"/>
        <v>0</v>
      </c>
      <c r="Z68" s="42">
        <f t="shared" si="17"/>
        <v>0</v>
      </c>
    </row>
    <row r="69" spans="1:26" hidden="1" outlineLevel="1" x14ac:dyDescent="0.25">
      <c r="A69" s="18"/>
      <c r="B69" s="38">
        <f t="shared" si="37"/>
        <v>16</v>
      </c>
      <c r="C69" s="54">
        <f t="shared" si="30"/>
        <v>113.26968530625766</v>
      </c>
      <c r="D69" s="33">
        <f>C69*VLOOKUP($A$54,Ταρίφες!$A$6:$G$23,$K$6,FALSE)*(1+$F$3)^(B69-1)</f>
        <v>57767.539506191402</v>
      </c>
      <c r="E69" s="33">
        <f>C69*VLOOKUP($A$54,Ταρίφες!$A$6:$G$23,$K$7,FALSE)*(1+$F$3)^(B69-1)</f>
        <v>49838.661534753366</v>
      </c>
      <c r="F69" s="46">
        <f t="shared" si="26"/>
        <v>-2691.7366766482583</v>
      </c>
      <c r="G69" s="47">
        <f t="shared" si="27"/>
        <v>-1076.6946706593035</v>
      </c>
      <c r="H69" s="47">
        <f t="shared" si="28"/>
        <v>-3768.4313473075617</v>
      </c>
      <c r="I69" s="46">
        <f t="shared" si="29"/>
        <v>-6056.4075224585813</v>
      </c>
      <c r="J69" s="47">
        <f t="shared" si="31"/>
        <v>-12910</v>
      </c>
      <c r="K69" s="47">
        <f t="shared" si="32"/>
        <v>-8128.7100151706018</v>
      </c>
      <c r="L69" s="47">
        <f t="shared" si="33"/>
        <v>-6067.2017425967124</v>
      </c>
      <c r="M69" s="47">
        <f t="shared" si="34"/>
        <v>36045.559273947096</v>
      </c>
      <c r="N69" s="47">
        <f t="shared" si="35"/>
        <v>30178.18957508295</v>
      </c>
      <c r="O69" s="34"/>
      <c r="P69" s="35"/>
      <c r="Q69" s="35"/>
      <c r="R69" s="33"/>
      <c r="S69" s="43"/>
      <c r="T69" s="19"/>
      <c r="U69" s="27">
        <f t="shared" si="36"/>
        <v>36045.559273947096</v>
      </c>
      <c r="V69" s="28">
        <f t="shared" si="36"/>
        <v>30178.18957508295</v>
      </c>
      <c r="W69" s="43"/>
      <c r="X69" s="19"/>
      <c r="Y69" s="42">
        <f t="shared" si="17"/>
        <v>0</v>
      </c>
      <c r="Z69" s="42">
        <f t="shared" si="17"/>
        <v>0</v>
      </c>
    </row>
    <row r="70" spans="1:26" hidden="1" outlineLevel="1" x14ac:dyDescent="0.25">
      <c r="A70" s="18"/>
      <c r="B70" s="38">
        <f t="shared" si="37"/>
        <v>17</v>
      </c>
      <c r="C70" s="54">
        <f t="shared" si="30"/>
        <v>112.13698845319507</v>
      </c>
      <c r="D70" s="33">
        <f>C70*VLOOKUP($A$54,Ταρίφες!$A$6:$G$23,$K$6,FALSE)*(1+$F$3)^(B70-1)</f>
        <v>57189.864111129486</v>
      </c>
      <c r="E70" s="33">
        <f>C70*VLOOKUP($A$54,Ταρίφες!$A$6:$G$23,$K$7,FALSE)*(1+$F$3)^(B70-1)</f>
        <v>49340.274919405834</v>
      </c>
      <c r="F70" s="46">
        <f t="shared" si="26"/>
        <v>-2745.5714101812241</v>
      </c>
      <c r="G70" s="47">
        <f t="shared" si="27"/>
        <v>-1098.2285640724897</v>
      </c>
      <c r="H70" s="47">
        <f t="shared" si="28"/>
        <v>-3843.7999742537136</v>
      </c>
      <c r="I70" s="46">
        <f t="shared" si="29"/>
        <v>-6177.5356729077539</v>
      </c>
      <c r="J70" s="47">
        <f t="shared" si="31"/>
        <v>-12910</v>
      </c>
      <c r="K70" s="47">
        <f t="shared" si="32"/>
        <v>-7907.8294073257193</v>
      </c>
      <c r="L70" s="47">
        <f t="shared" si="33"/>
        <v>-5866.9362174775697</v>
      </c>
      <c r="M70" s="47">
        <f t="shared" si="34"/>
        <v>35416.899082388583</v>
      </c>
      <c r="N70" s="47">
        <f t="shared" si="35"/>
        <v>29608.203080513082</v>
      </c>
      <c r="O70" s="34"/>
      <c r="P70" s="35"/>
      <c r="Q70" s="35"/>
      <c r="R70" s="33"/>
      <c r="S70" s="43"/>
      <c r="T70" s="19"/>
      <c r="U70" s="27">
        <f t="shared" si="36"/>
        <v>35416.899082388583</v>
      </c>
      <c r="V70" s="28">
        <f t="shared" si="36"/>
        <v>29608.203080513082</v>
      </c>
      <c r="W70" s="43"/>
      <c r="X70" s="19"/>
      <c r="Y70" s="42">
        <f t="shared" si="17"/>
        <v>0</v>
      </c>
      <c r="Z70" s="42">
        <f t="shared" si="17"/>
        <v>0</v>
      </c>
    </row>
    <row r="71" spans="1:26" hidden="1" outlineLevel="1" x14ac:dyDescent="0.25">
      <c r="A71" s="18"/>
      <c r="B71" s="38">
        <f t="shared" si="37"/>
        <v>18</v>
      </c>
      <c r="C71" s="54">
        <f t="shared" si="30"/>
        <v>111.01561856866311</v>
      </c>
      <c r="D71" s="33">
        <f>C71*VLOOKUP($A$54,Ταρίφες!$A$6:$G$23,$K$6,FALSE)*(1+$F$3)^(B71-1)</f>
        <v>56617.965470018185</v>
      </c>
      <c r="E71" s="33">
        <f>C71*VLOOKUP($A$54,Ταρίφες!$A$6:$G$23,$K$7,FALSE)*(1+$F$3)^(B71-1)</f>
        <v>48846.872170211769</v>
      </c>
      <c r="F71" s="46">
        <f t="shared" si="26"/>
        <v>-2800.4828383848489</v>
      </c>
      <c r="G71" s="47">
        <f t="shared" si="27"/>
        <v>-1120.1931353539396</v>
      </c>
      <c r="H71" s="47">
        <f t="shared" si="28"/>
        <v>-3920.6759737387883</v>
      </c>
      <c r="I71" s="46">
        <f t="shared" si="29"/>
        <v>-6301.0863863659097</v>
      </c>
      <c r="J71" s="47">
        <f t="shared" si="31"/>
        <v>-12910</v>
      </c>
      <c r="K71" s="47">
        <f t="shared" si="32"/>
        <v>-7687.0370554054225</v>
      </c>
      <c r="L71" s="47">
        <f t="shared" si="33"/>
        <v>-5666.5527974557535</v>
      </c>
      <c r="M71" s="47">
        <f t="shared" si="34"/>
        <v>34788.490080769276</v>
      </c>
      <c r="N71" s="47">
        <f t="shared" si="35"/>
        <v>29037.881038912528</v>
      </c>
      <c r="O71" s="34"/>
      <c r="P71" s="35"/>
      <c r="Q71" s="35"/>
      <c r="R71" s="33"/>
      <c r="S71" s="43"/>
      <c r="T71" s="19"/>
      <c r="U71" s="27">
        <f t="shared" si="36"/>
        <v>34788.490080769276</v>
      </c>
      <c r="V71" s="28">
        <f t="shared" si="36"/>
        <v>29037.881038912528</v>
      </c>
      <c r="W71" s="43"/>
      <c r="X71" s="19"/>
      <c r="Y71" s="42">
        <f t="shared" si="17"/>
        <v>0</v>
      </c>
      <c r="Z71" s="42">
        <f t="shared" si="17"/>
        <v>0</v>
      </c>
    </row>
    <row r="72" spans="1:26" hidden="1" outlineLevel="1" x14ac:dyDescent="0.25">
      <c r="A72" s="18"/>
      <c r="B72" s="38">
        <f t="shared" si="37"/>
        <v>19</v>
      </c>
      <c r="C72" s="54">
        <f t="shared" si="30"/>
        <v>109.90546238297648</v>
      </c>
      <c r="D72" s="33">
        <f>C72*VLOOKUP($A$54,Ταρίφες!$A$6:$G$23,$K$6,FALSE)*(1+$F$3)^(B72-1)</f>
        <v>56051.785815318006</v>
      </c>
      <c r="E72" s="33">
        <f>C72*VLOOKUP($A$54,Ταρίφες!$A$6:$G$23,$K$7,FALSE)*(1+$F$3)^(B72-1)</f>
        <v>48358.403448509649</v>
      </c>
      <c r="F72" s="46">
        <f t="shared" si="26"/>
        <v>-2856.4924951525454</v>
      </c>
      <c r="G72" s="47">
        <f t="shared" si="27"/>
        <v>-1142.5969980610182</v>
      </c>
      <c r="H72" s="47">
        <f t="shared" si="28"/>
        <v>-3999.0894932135634</v>
      </c>
      <c r="I72" s="46">
        <f t="shared" si="29"/>
        <v>-6427.1081140932274</v>
      </c>
      <c r="J72" s="47">
        <f t="shared" si="31"/>
        <v>-12910</v>
      </c>
      <c r="K72" s="47">
        <f t="shared" si="32"/>
        <v>-7466.2896658473892</v>
      </c>
      <c r="L72" s="47">
        <f t="shared" si="33"/>
        <v>-5466.0102504772167</v>
      </c>
      <c r="M72" s="47">
        <f t="shared" si="34"/>
        <v>34160.209048950259</v>
      </c>
      <c r="N72" s="47">
        <f t="shared" si="35"/>
        <v>28467.106097512078</v>
      </c>
      <c r="O72" s="34"/>
      <c r="P72" s="35"/>
      <c r="Q72" s="35"/>
      <c r="R72" s="33"/>
      <c r="S72" s="43"/>
      <c r="T72" s="19"/>
      <c r="U72" s="27">
        <f t="shared" si="36"/>
        <v>34160.209048950259</v>
      </c>
      <c r="V72" s="28">
        <f t="shared" si="36"/>
        <v>28467.106097512078</v>
      </c>
      <c r="W72" s="43"/>
      <c r="X72" s="19"/>
      <c r="Y72" s="42">
        <f t="shared" si="17"/>
        <v>0</v>
      </c>
      <c r="Z72" s="42">
        <f t="shared" si="17"/>
        <v>0</v>
      </c>
    </row>
    <row r="73" spans="1:26" hidden="1" outlineLevel="1" x14ac:dyDescent="0.25">
      <c r="A73" s="18"/>
      <c r="B73" s="38">
        <f t="shared" si="37"/>
        <v>20</v>
      </c>
      <c r="C73" s="54">
        <f t="shared" si="30"/>
        <v>108.80640775914671</v>
      </c>
      <c r="D73" s="33">
        <f>C73*VLOOKUP($A$54,Ταρίφες!$A$6:$G$23,$K$6,FALSE)*(1+$F$3)^(B73-1)</f>
        <v>55491.267957164819</v>
      </c>
      <c r="E73" s="33">
        <f>C73*VLOOKUP($A$54,Ταρίφες!$A$6:$G$23,$K$7,FALSE)*(1+$F$3)^(B73-1)</f>
        <v>47874.819414024554</v>
      </c>
      <c r="F73" s="46">
        <f t="shared" si="26"/>
        <v>-2913.6223450555963</v>
      </c>
      <c r="G73" s="47">
        <f t="shared" si="27"/>
        <v>-1165.4489380222385</v>
      </c>
      <c r="H73" s="47">
        <f t="shared" si="28"/>
        <v>-4079.0712830778348</v>
      </c>
      <c r="I73" s="46">
        <f t="shared" si="29"/>
        <v>-6555.6502763750914</v>
      </c>
      <c r="J73" s="47">
        <f t="shared" si="31"/>
        <v>-12910</v>
      </c>
      <c r="K73" s="47">
        <f t="shared" si="32"/>
        <v>-7245.5435298048551</v>
      </c>
      <c r="L73" s="47">
        <f t="shared" si="33"/>
        <v>-5265.2669085883863</v>
      </c>
      <c r="M73" s="47">
        <f t="shared" si="34"/>
        <v>33531.931584829203</v>
      </c>
      <c r="N73" s="47">
        <f t="shared" si="35"/>
        <v>27895.759662905406</v>
      </c>
      <c r="O73" s="34"/>
      <c r="P73" s="35"/>
      <c r="Q73" s="35"/>
      <c r="R73" s="33"/>
      <c r="S73" s="43"/>
      <c r="T73" s="19"/>
      <c r="U73" s="27">
        <f>M73</f>
        <v>33531.931584829203</v>
      </c>
      <c r="V73" s="28">
        <f t="shared" ref="V73" si="38">N73</f>
        <v>27895.759662905406</v>
      </c>
      <c r="W73" s="43"/>
      <c r="X73" s="19"/>
      <c r="Y73" s="42">
        <f t="shared" si="17"/>
        <v>0</v>
      </c>
      <c r="Z73" s="42">
        <f t="shared" si="17"/>
        <v>0</v>
      </c>
    </row>
    <row r="74" spans="1:26" hidden="1" outlineLevel="1" x14ac:dyDescent="0.25">
      <c r="A74" s="40"/>
      <c r="B74" s="50"/>
      <c r="C74" s="56"/>
      <c r="D74" s="22"/>
      <c r="E74" s="22"/>
      <c r="F74" s="48"/>
      <c r="G74" s="51"/>
      <c r="H74" s="51"/>
      <c r="I74" s="48"/>
      <c r="J74" s="51"/>
      <c r="K74" s="51"/>
      <c r="L74" s="51"/>
      <c r="M74" s="51"/>
      <c r="N74" s="51"/>
      <c r="O74" s="17"/>
      <c r="P74" s="25"/>
      <c r="Q74" s="25"/>
      <c r="R74" s="22"/>
      <c r="S74" s="52"/>
      <c r="T74" s="44"/>
      <c r="U74" s="26">
        <f>O75</f>
        <v>-302750</v>
      </c>
      <c r="V74" s="26">
        <f>R75</f>
        <v>-233644.53125</v>
      </c>
      <c r="W74" s="52"/>
      <c r="X74" s="44"/>
      <c r="Y74" s="42">
        <f t="shared" si="17"/>
        <v>0</v>
      </c>
      <c r="Z74" s="42">
        <f t="shared" si="17"/>
        <v>0</v>
      </c>
    </row>
    <row r="75" spans="1:26" collapsed="1" x14ac:dyDescent="0.25">
      <c r="A75" s="32" t="str">
        <f>Ταρίφες!A13</f>
        <v>Δ Τριμ. 2010</v>
      </c>
      <c r="B75" s="38">
        <f>1</f>
        <v>1</v>
      </c>
      <c r="C75" s="54">
        <f>$F$8*$K$2/1000</f>
        <v>131.69999999999999</v>
      </c>
      <c r="D75" s="33">
        <f>C75*VLOOKUP($A$75,Ταρίφες!$A$6:$G$23,$K$6,FALSE)*(1+$F$3)^(B75-1)</f>
        <v>67167</v>
      </c>
      <c r="E75" s="33">
        <f>C75*VLOOKUP($A$75,Ταρίφες!$A$6:$G$23,$K$7,FALSE)*(1+$F$3)^(B75-1)</f>
        <v>56630.999999999993</v>
      </c>
      <c r="F75" s="46">
        <f t="shared" ref="F75:F94" si="39">-($K$5*(1+$F$4)^(B75-$B$12))</f>
        <v>-2000</v>
      </c>
      <c r="G75" s="47">
        <f t="shared" ref="G75:G94" si="40">-$K$2*10*(1+$F$4)^(B75-$B$12)</f>
        <v>-800</v>
      </c>
      <c r="H75" s="47">
        <f t="shared" ref="H75:H94" si="41">-$K$4*(1+$F$4)^(B75-$B$12)</f>
        <v>-2800</v>
      </c>
      <c r="I75" s="46">
        <f t="shared" ref="I75:I94" si="42">-(4500*(1+$F$4)^(B75-$B$12))</f>
        <v>-4500</v>
      </c>
      <c r="J75" s="47">
        <f>$O$75*4%</f>
        <v>-12110</v>
      </c>
      <c r="K75" s="47">
        <f>-(D75+SUM(F75:J75))*$F$5</f>
        <v>-11688.82</v>
      </c>
      <c r="L75" s="47">
        <f>-(E75+SUM(F75:J75))*$F$5</f>
        <v>-8949.4599999999991</v>
      </c>
      <c r="M75" s="47">
        <f>D75+SUM(F75:I75)+K75</f>
        <v>45378.18</v>
      </c>
      <c r="N75" s="47">
        <f>E75+SUM(F75:I75)+L75</f>
        <v>37581.539999999994</v>
      </c>
      <c r="O75" s="35">
        <f>-VLOOKUP(A75,'Κόστος Κατασκευής'!$A$4:$Q$17,$K$8,FALSE)</f>
        <v>-302750</v>
      </c>
      <c r="P75" s="36">
        <f>$K$3</f>
        <v>96000</v>
      </c>
      <c r="Q75" s="36">
        <f>Q54*15/16</f>
        <v>-26894.531250000004</v>
      </c>
      <c r="R75" s="37">
        <f>SUM(O75:Q75)</f>
        <v>-233644.53125</v>
      </c>
      <c r="S75" s="42">
        <f>IRR(U74:U94)</f>
        <v>0.12417619016942116</v>
      </c>
      <c r="T75" s="42">
        <f>IRR(V74:V94)</f>
        <v>0.13559373409350517</v>
      </c>
      <c r="U75" s="27">
        <f>M75</f>
        <v>45378.18</v>
      </c>
      <c r="V75" s="28">
        <f>N75</f>
        <v>37581.539999999994</v>
      </c>
      <c r="W75" s="42">
        <f>'IRR ΔΣ Ισχύον'!S75</f>
        <v>0.13375686746302917</v>
      </c>
      <c r="X75" s="42">
        <f>'IRR ΔΣ Ισχύον'!T75</f>
        <v>0.13250368115329181</v>
      </c>
      <c r="Y75" s="42">
        <f t="shared" si="17"/>
        <v>-9.5806772936080087E-3</v>
      </c>
      <c r="Z75" s="42">
        <f t="shared" si="17"/>
        <v>3.0900529402133614E-3</v>
      </c>
    </row>
    <row r="76" spans="1:26" hidden="1" outlineLevel="1" x14ac:dyDescent="0.25">
      <c r="A76" s="18"/>
      <c r="B76" s="38">
        <f>B75+1</f>
        <v>2</v>
      </c>
      <c r="C76" s="54">
        <f t="shared" ref="C76:C93" si="43">C75*(1-$F$2)</f>
        <v>130.38299999999998</v>
      </c>
      <c r="D76" s="33">
        <f>C76*VLOOKUP($A$75,Ταρίφες!$A$6:$G$23,$K$6,FALSE)*(1+$F$3)^(B76-1)</f>
        <v>66495.329999999987</v>
      </c>
      <c r="E76" s="33">
        <f>C76*VLOOKUP($A$75,Ταρίφες!$A$6:$G$23,$K$7,FALSE)*(1+$F$3)^(B76-1)</f>
        <v>56064.689999999995</v>
      </c>
      <c r="F76" s="46">
        <f t="shared" si="39"/>
        <v>-2040</v>
      </c>
      <c r="G76" s="47">
        <f t="shared" si="40"/>
        <v>-816</v>
      </c>
      <c r="H76" s="47">
        <f t="shared" si="41"/>
        <v>-2856</v>
      </c>
      <c r="I76" s="46">
        <f t="shared" si="42"/>
        <v>-4590</v>
      </c>
      <c r="J76" s="47">
        <f t="shared" ref="J76:J94" si="44">$O$75*4%</f>
        <v>-12110</v>
      </c>
      <c r="K76" s="47">
        <f t="shared" ref="K76:K94" si="45">-(D76+SUM(F76:J76))*$F$5</f>
        <v>-11461.665799999997</v>
      </c>
      <c r="L76" s="47">
        <f t="shared" ref="L76:L94" si="46">-(E76+SUM(F76:J76))*$F$5</f>
        <v>-8749.6993999999995</v>
      </c>
      <c r="M76" s="47">
        <f t="shared" ref="M76:M94" si="47">D76+SUM(F76:I76)+K76</f>
        <v>44731.664199999992</v>
      </c>
      <c r="N76" s="47">
        <f t="shared" ref="N76:N94" si="48">E76+SUM(F76:I76)+L76</f>
        <v>37012.990599999997</v>
      </c>
      <c r="O76" s="34"/>
      <c r="P76" s="35"/>
      <c r="Q76" s="35"/>
      <c r="R76" s="33"/>
      <c r="S76" s="43"/>
      <c r="T76" s="19"/>
      <c r="U76" s="27">
        <f t="shared" ref="U76:V93" si="49">M76</f>
        <v>44731.664199999992</v>
      </c>
      <c r="V76" s="28">
        <f t="shared" si="49"/>
        <v>37012.990599999997</v>
      </c>
      <c r="W76" s="43"/>
      <c r="X76" s="19"/>
      <c r="Y76" s="42">
        <f t="shared" si="17"/>
        <v>0</v>
      </c>
      <c r="Z76" s="42">
        <f t="shared" si="17"/>
        <v>0</v>
      </c>
    </row>
    <row r="77" spans="1:26" hidden="1" outlineLevel="1" x14ac:dyDescent="0.25">
      <c r="A77" s="18"/>
      <c r="B77" s="38">
        <f t="shared" ref="B77:B93" si="50">B76+1</f>
        <v>3</v>
      </c>
      <c r="C77" s="54">
        <f t="shared" si="43"/>
        <v>129.07916999999998</v>
      </c>
      <c r="D77" s="33">
        <f>C77*VLOOKUP($A$75,Ταρίφες!$A$6:$G$23,$K$6,FALSE)*(1+$F$3)^(B77-1)</f>
        <v>65830.376699999993</v>
      </c>
      <c r="E77" s="33">
        <f>C77*VLOOKUP($A$75,Ταρίφες!$A$6:$G$23,$K$7,FALSE)*(1+$F$3)^(B77-1)</f>
        <v>55504.043099999988</v>
      </c>
      <c r="F77" s="46">
        <f t="shared" si="39"/>
        <v>-2080.8000000000002</v>
      </c>
      <c r="G77" s="47">
        <f t="shared" si="40"/>
        <v>-832.31999999999994</v>
      </c>
      <c r="H77" s="47">
        <f t="shared" si="41"/>
        <v>-2913.12</v>
      </c>
      <c r="I77" s="46">
        <f t="shared" si="42"/>
        <v>-4681.8</v>
      </c>
      <c r="J77" s="47">
        <f t="shared" si="44"/>
        <v>-12110</v>
      </c>
      <c r="K77" s="47">
        <f t="shared" si="45"/>
        <v>-11235.207541999998</v>
      </c>
      <c r="L77" s="47">
        <f t="shared" si="46"/>
        <v>-8550.360805999997</v>
      </c>
      <c r="M77" s="47">
        <f t="shared" si="47"/>
        <v>44087.129157999996</v>
      </c>
      <c r="N77" s="47">
        <f t="shared" si="48"/>
        <v>36445.64229399999</v>
      </c>
      <c r="O77" s="34"/>
      <c r="P77" s="35"/>
      <c r="Q77" s="35"/>
      <c r="R77" s="33"/>
      <c r="S77" s="43"/>
      <c r="T77" s="19"/>
      <c r="U77" s="27">
        <f t="shared" si="49"/>
        <v>44087.129157999996</v>
      </c>
      <c r="V77" s="28">
        <f t="shared" si="49"/>
        <v>36445.64229399999</v>
      </c>
      <c r="W77" s="43"/>
      <c r="X77" s="19"/>
      <c r="Y77" s="42">
        <f t="shared" ref="Y77:Z140" si="51">S77-W77</f>
        <v>0</v>
      </c>
      <c r="Z77" s="42">
        <f t="shared" si="51"/>
        <v>0</v>
      </c>
    </row>
    <row r="78" spans="1:26" hidden="1" outlineLevel="1" x14ac:dyDescent="0.25">
      <c r="A78" s="18"/>
      <c r="B78" s="38">
        <f t="shared" si="50"/>
        <v>4</v>
      </c>
      <c r="C78" s="54">
        <f t="shared" si="43"/>
        <v>127.78837829999998</v>
      </c>
      <c r="D78" s="33">
        <f>C78*VLOOKUP($A$75,Ταρίφες!$A$6:$G$23,$K$6,FALSE)*(1+$F$3)^(B78-1)</f>
        <v>65172.072932999989</v>
      </c>
      <c r="E78" s="33">
        <f>C78*VLOOKUP($A$75,Ταρίφες!$A$6:$G$23,$K$7,FALSE)*(1+$F$3)^(B78-1)</f>
        <v>54949.002668999987</v>
      </c>
      <c r="F78" s="46">
        <f t="shared" si="39"/>
        <v>-2122.4159999999997</v>
      </c>
      <c r="G78" s="47">
        <f t="shared" si="40"/>
        <v>-848.96639999999991</v>
      </c>
      <c r="H78" s="47">
        <f t="shared" si="41"/>
        <v>-2971.3824</v>
      </c>
      <c r="I78" s="46">
        <f t="shared" si="42"/>
        <v>-4775.4359999999997</v>
      </c>
      <c r="J78" s="47">
        <f t="shared" si="44"/>
        <v>-12110</v>
      </c>
      <c r="K78" s="47">
        <f t="shared" si="45"/>
        <v>-11009.406754579997</v>
      </c>
      <c r="L78" s="47">
        <f t="shared" si="46"/>
        <v>-8351.4084859399973</v>
      </c>
      <c r="M78" s="47">
        <f t="shared" si="47"/>
        <v>43444.465378419991</v>
      </c>
      <c r="N78" s="47">
        <f t="shared" si="48"/>
        <v>35879.393383059993</v>
      </c>
      <c r="O78" s="34"/>
      <c r="P78" s="35"/>
      <c r="Q78" s="35"/>
      <c r="R78" s="33"/>
      <c r="S78" s="43"/>
      <c r="T78" s="19"/>
      <c r="U78" s="27">
        <f t="shared" si="49"/>
        <v>43444.465378419991</v>
      </c>
      <c r="V78" s="28">
        <f t="shared" si="49"/>
        <v>35879.393383059993</v>
      </c>
      <c r="W78" s="43"/>
      <c r="X78" s="19"/>
      <c r="Y78" s="42">
        <f t="shared" si="51"/>
        <v>0</v>
      </c>
      <c r="Z78" s="42">
        <f t="shared" si="51"/>
        <v>0</v>
      </c>
    </row>
    <row r="79" spans="1:26" hidden="1" outlineLevel="1" x14ac:dyDescent="0.25">
      <c r="A79" s="18"/>
      <c r="B79" s="38">
        <f t="shared" si="50"/>
        <v>5</v>
      </c>
      <c r="C79" s="54">
        <f t="shared" si="43"/>
        <v>126.51049451699997</v>
      </c>
      <c r="D79" s="33">
        <f>C79*VLOOKUP($A$75,Ταρίφες!$A$6:$G$23,$K$6,FALSE)*(1+$F$3)^(B79-1)</f>
        <v>64520.352203669987</v>
      </c>
      <c r="E79" s="33">
        <f>C79*VLOOKUP($A$75,Ταρίφες!$A$6:$G$23,$K$7,FALSE)*(1+$F$3)^(B79-1)</f>
        <v>54399.512642309986</v>
      </c>
      <c r="F79" s="46">
        <f t="shared" si="39"/>
        <v>-2164.8643200000001</v>
      </c>
      <c r="G79" s="47">
        <f t="shared" si="40"/>
        <v>-865.94572800000003</v>
      </c>
      <c r="H79" s="47">
        <f t="shared" si="41"/>
        <v>-3030.8100479999998</v>
      </c>
      <c r="I79" s="46">
        <f t="shared" si="42"/>
        <v>-4870.9447199999995</v>
      </c>
      <c r="J79" s="47">
        <f t="shared" si="44"/>
        <v>-12110</v>
      </c>
      <c r="K79" s="47">
        <f t="shared" si="45"/>
        <v>-10784.224720794198</v>
      </c>
      <c r="L79" s="47">
        <f t="shared" si="46"/>
        <v>-8152.8064348405969</v>
      </c>
      <c r="M79" s="47">
        <f t="shared" si="47"/>
        <v>42803.56266687579</v>
      </c>
      <c r="N79" s="47">
        <f t="shared" si="48"/>
        <v>35314.141391469391</v>
      </c>
      <c r="O79" s="34"/>
      <c r="P79" s="35"/>
      <c r="Q79" s="35"/>
      <c r="R79" s="33"/>
      <c r="S79" s="43"/>
      <c r="T79" s="19"/>
      <c r="U79" s="27">
        <f t="shared" si="49"/>
        <v>42803.56266687579</v>
      </c>
      <c r="V79" s="28">
        <f t="shared" si="49"/>
        <v>35314.141391469391</v>
      </c>
      <c r="W79" s="43"/>
      <c r="X79" s="19"/>
      <c r="Y79" s="42">
        <f t="shared" si="51"/>
        <v>0</v>
      </c>
      <c r="Z79" s="42">
        <f t="shared" si="51"/>
        <v>0</v>
      </c>
    </row>
    <row r="80" spans="1:26" hidden="1" outlineLevel="1" x14ac:dyDescent="0.25">
      <c r="A80" s="18"/>
      <c r="B80" s="38">
        <f t="shared" si="50"/>
        <v>6</v>
      </c>
      <c r="C80" s="54">
        <f t="shared" si="43"/>
        <v>125.24538957182997</v>
      </c>
      <c r="D80" s="33">
        <f>C80*VLOOKUP($A$75,Ταρίφες!$A$6:$G$23,$K$6,FALSE)*(1+$F$3)^(B80-1)</f>
        <v>63875.148681633284</v>
      </c>
      <c r="E80" s="33">
        <f>C80*VLOOKUP($A$75,Ταρίφες!$A$6:$G$23,$K$7,FALSE)*(1+$F$3)^(B80-1)</f>
        <v>53855.517515886888</v>
      </c>
      <c r="F80" s="46">
        <f t="shared" si="39"/>
        <v>-2208.1616064</v>
      </c>
      <c r="G80" s="47">
        <f t="shared" si="40"/>
        <v>-883.26464255999997</v>
      </c>
      <c r="H80" s="47">
        <f t="shared" si="41"/>
        <v>-3091.4262489600001</v>
      </c>
      <c r="I80" s="46">
        <f t="shared" si="42"/>
        <v>-4968.3636144000002</v>
      </c>
      <c r="J80" s="47">
        <f t="shared" si="44"/>
        <v>-12110</v>
      </c>
      <c r="K80" s="47">
        <f t="shared" si="45"/>
        <v>-10559.622468021455</v>
      </c>
      <c r="L80" s="47">
        <f t="shared" si="46"/>
        <v>-7954.5183649273913</v>
      </c>
      <c r="M80" s="47">
        <f t="shared" si="47"/>
        <v>42164.310101291834</v>
      </c>
      <c r="N80" s="47">
        <f t="shared" si="48"/>
        <v>34749.7830386395</v>
      </c>
      <c r="O80" s="34"/>
      <c r="P80" s="35"/>
      <c r="Q80" s="35"/>
      <c r="R80" s="33"/>
      <c r="S80" s="43"/>
      <c r="T80" s="19"/>
      <c r="U80" s="27">
        <f t="shared" si="49"/>
        <v>42164.310101291834</v>
      </c>
      <c r="V80" s="28">
        <f t="shared" si="49"/>
        <v>34749.7830386395</v>
      </c>
      <c r="W80" s="43"/>
      <c r="X80" s="19"/>
      <c r="Y80" s="42">
        <f t="shared" si="51"/>
        <v>0</v>
      </c>
      <c r="Z80" s="42">
        <f t="shared" si="51"/>
        <v>0</v>
      </c>
    </row>
    <row r="81" spans="1:26" hidden="1" outlineLevel="1" x14ac:dyDescent="0.25">
      <c r="A81" s="18"/>
      <c r="B81" s="38">
        <f t="shared" si="50"/>
        <v>7</v>
      </c>
      <c r="C81" s="54">
        <f t="shared" si="43"/>
        <v>123.99293567611167</v>
      </c>
      <c r="D81" s="33">
        <f>C81*VLOOKUP($A$75,Ταρίφες!$A$6:$G$23,$K$6,FALSE)*(1+$F$3)^(B81-1)</f>
        <v>63236.397194816949</v>
      </c>
      <c r="E81" s="33">
        <f>C81*VLOOKUP($A$75,Ταρίφες!$A$6:$G$23,$K$7,FALSE)*(1+$F$3)^(B81-1)</f>
        <v>53316.962340728016</v>
      </c>
      <c r="F81" s="46">
        <f t="shared" si="39"/>
        <v>-2252.3248385280003</v>
      </c>
      <c r="G81" s="47">
        <f t="shared" si="40"/>
        <v>-900.92993541120006</v>
      </c>
      <c r="H81" s="47">
        <f t="shared" si="41"/>
        <v>-3153.2547739392003</v>
      </c>
      <c r="I81" s="46">
        <f t="shared" si="42"/>
        <v>-5067.7308866880003</v>
      </c>
      <c r="J81" s="47">
        <f t="shared" si="44"/>
        <v>-12110</v>
      </c>
      <c r="K81" s="47">
        <f t="shared" si="45"/>
        <v>-10335.560757665144</v>
      </c>
      <c r="L81" s="47">
        <f t="shared" si="46"/>
        <v>-7756.5076956020202</v>
      </c>
      <c r="M81" s="47">
        <f t="shared" si="47"/>
        <v>41526.596002585407</v>
      </c>
      <c r="N81" s="47">
        <f t="shared" si="48"/>
        <v>34186.214210559599</v>
      </c>
      <c r="O81" s="34"/>
      <c r="P81" s="35"/>
      <c r="Q81" s="35"/>
      <c r="R81" s="33"/>
      <c r="S81" s="43"/>
      <c r="T81" s="19"/>
      <c r="U81" s="27">
        <f t="shared" si="49"/>
        <v>41526.596002585407</v>
      </c>
      <c r="V81" s="28">
        <f t="shared" si="49"/>
        <v>34186.214210559599</v>
      </c>
      <c r="W81" s="43"/>
      <c r="X81" s="19"/>
      <c r="Y81" s="42">
        <f t="shared" si="51"/>
        <v>0</v>
      </c>
      <c r="Z81" s="42">
        <f t="shared" si="51"/>
        <v>0</v>
      </c>
    </row>
    <row r="82" spans="1:26" hidden="1" outlineLevel="1" x14ac:dyDescent="0.25">
      <c r="A82" s="18"/>
      <c r="B82" s="38">
        <f t="shared" si="50"/>
        <v>8</v>
      </c>
      <c r="C82" s="54">
        <f t="shared" si="43"/>
        <v>122.75300631935055</v>
      </c>
      <c r="D82" s="33">
        <f>C82*VLOOKUP($A$75,Ταρίφες!$A$6:$G$23,$K$6,FALSE)*(1+$F$3)^(B82-1)</f>
        <v>62604.033222868777</v>
      </c>
      <c r="E82" s="33">
        <f>C82*VLOOKUP($A$75,Ταρίφες!$A$6:$G$23,$K$7,FALSE)*(1+$F$3)^(B82-1)</f>
        <v>52783.792717320735</v>
      </c>
      <c r="F82" s="46">
        <f t="shared" si="39"/>
        <v>-2297.3713352985596</v>
      </c>
      <c r="G82" s="47">
        <f t="shared" si="40"/>
        <v>-918.94853411942381</v>
      </c>
      <c r="H82" s="47">
        <f t="shared" si="41"/>
        <v>-3216.3198694179837</v>
      </c>
      <c r="I82" s="46">
        <f t="shared" si="42"/>
        <v>-5169.0855044217587</v>
      </c>
      <c r="J82" s="47">
        <f t="shared" si="44"/>
        <v>-12110</v>
      </c>
      <c r="K82" s="47">
        <f t="shared" si="45"/>
        <v>-10112.000074698875</v>
      </c>
      <c r="L82" s="47">
        <f t="shared" si="46"/>
        <v>-7558.7375432563831</v>
      </c>
      <c r="M82" s="47">
        <f t="shared" si="47"/>
        <v>40890.307904912181</v>
      </c>
      <c r="N82" s="47">
        <f t="shared" si="48"/>
        <v>33623.32993080662</v>
      </c>
      <c r="O82" s="34"/>
      <c r="P82" s="35"/>
      <c r="Q82" s="35"/>
      <c r="R82" s="33"/>
      <c r="S82" s="43"/>
      <c r="T82" s="19"/>
      <c r="U82" s="27">
        <f t="shared" si="49"/>
        <v>40890.307904912181</v>
      </c>
      <c r="V82" s="28">
        <f t="shared" si="49"/>
        <v>33623.32993080662</v>
      </c>
      <c r="W82" s="43"/>
      <c r="X82" s="19"/>
      <c r="Y82" s="42">
        <f t="shared" si="51"/>
        <v>0</v>
      </c>
      <c r="Z82" s="42">
        <f t="shared" si="51"/>
        <v>0</v>
      </c>
    </row>
    <row r="83" spans="1:26" hidden="1" outlineLevel="1" x14ac:dyDescent="0.25">
      <c r="A83" s="18"/>
      <c r="B83" s="38">
        <f t="shared" si="50"/>
        <v>9</v>
      </c>
      <c r="C83" s="54">
        <f t="shared" si="43"/>
        <v>121.52547625615703</v>
      </c>
      <c r="D83" s="33">
        <f>C83*VLOOKUP($A$75,Ταρίφες!$A$6:$G$23,$K$6,FALSE)*(1+$F$3)^(B83-1)</f>
        <v>61977.992890640089</v>
      </c>
      <c r="E83" s="33">
        <f>C83*VLOOKUP($A$75,Ταρίφες!$A$6:$G$23,$K$7,FALSE)*(1+$F$3)^(B83-1)</f>
        <v>52255.954790147523</v>
      </c>
      <c r="F83" s="46">
        <f t="shared" si="39"/>
        <v>-2343.318762004531</v>
      </c>
      <c r="G83" s="47">
        <f t="shared" si="40"/>
        <v>-937.32750480181244</v>
      </c>
      <c r="H83" s="47">
        <f t="shared" si="41"/>
        <v>-3280.6462668063436</v>
      </c>
      <c r="I83" s="46">
        <f t="shared" si="42"/>
        <v>-5272.4672145101949</v>
      </c>
      <c r="J83" s="47">
        <f t="shared" si="44"/>
        <v>-12110</v>
      </c>
      <c r="K83" s="47">
        <f t="shared" si="45"/>
        <v>-9888.9006170544744</v>
      </c>
      <c r="L83" s="47">
        <f t="shared" si="46"/>
        <v>-7361.1707109264071</v>
      </c>
      <c r="M83" s="47">
        <f t="shared" si="47"/>
        <v>40255.332525462734</v>
      </c>
      <c r="N83" s="47">
        <f t="shared" si="48"/>
        <v>33061.024331098233</v>
      </c>
      <c r="O83" s="34"/>
      <c r="P83" s="35"/>
      <c r="Q83" s="35"/>
      <c r="R83" s="33"/>
      <c r="S83" s="43"/>
      <c r="T83" s="19"/>
      <c r="U83" s="27">
        <f t="shared" si="49"/>
        <v>40255.332525462734</v>
      </c>
      <c r="V83" s="28">
        <f t="shared" si="49"/>
        <v>33061.024331098233</v>
      </c>
      <c r="W83" s="43"/>
      <c r="X83" s="19"/>
      <c r="Y83" s="42">
        <f t="shared" si="51"/>
        <v>0</v>
      </c>
      <c r="Z83" s="42">
        <f t="shared" si="51"/>
        <v>0</v>
      </c>
    </row>
    <row r="84" spans="1:26" hidden="1" outlineLevel="1" x14ac:dyDescent="0.25">
      <c r="A84" s="18"/>
      <c r="B84" s="38">
        <f t="shared" si="50"/>
        <v>10</v>
      </c>
      <c r="C84" s="54">
        <f t="shared" si="43"/>
        <v>120.31022149359546</v>
      </c>
      <c r="D84" s="33">
        <f>C84*VLOOKUP($A$75,Ταρίφες!$A$6:$G$23,$K$6,FALSE)*(1+$F$3)^(B84-1)</f>
        <v>61358.212961733683</v>
      </c>
      <c r="E84" s="33">
        <f>C84*VLOOKUP($A$75,Ταρίφες!$A$6:$G$23,$K$7,FALSE)*(1+$F$3)^(B84-1)</f>
        <v>51733.39524224605</v>
      </c>
      <c r="F84" s="46">
        <f t="shared" si="39"/>
        <v>-2390.1851372446217</v>
      </c>
      <c r="G84" s="47">
        <f t="shared" si="40"/>
        <v>-956.07405489784867</v>
      </c>
      <c r="H84" s="47">
        <f t="shared" si="41"/>
        <v>-3346.2591921424705</v>
      </c>
      <c r="I84" s="46">
        <f t="shared" si="42"/>
        <v>-5377.9165588003989</v>
      </c>
      <c r="J84" s="47">
        <f t="shared" si="44"/>
        <v>-12110</v>
      </c>
      <c r="K84" s="47">
        <f t="shared" si="45"/>
        <v>-9666.222284848569</v>
      </c>
      <c r="L84" s="47">
        <f t="shared" si="46"/>
        <v>-7163.7696777817846</v>
      </c>
      <c r="M84" s="47">
        <f t="shared" si="47"/>
        <v>39621.555733799774</v>
      </c>
      <c r="N84" s="47">
        <f t="shared" si="48"/>
        <v>32499.190621378926</v>
      </c>
      <c r="O84" s="34"/>
      <c r="P84" s="35"/>
      <c r="Q84" s="35"/>
      <c r="R84" s="33"/>
      <c r="S84" s="43"/>
      <c r="T84" s="19"/>
      <c r="U84" s="27">
        <f t="shared" si="49"/>
        <v>39621.555733799774</v>
      </c>
      <c r="V84" s="28">
        <f t="shared" si="49"/>
        <v>32499.190621378926</v>
      </c>
      <c r="W84" s="43"/>
      <c r="X84" s="19"/>
      <c r="Y84" s="42">
        <f t="shared" si="51"/>
        <v>0</v>
      </c>
      <c r="Z84" s="42">
        <f t="shared" si="51"/>
        <v>0</v>
      </c>
    </row>
    <row r="85" spans="1:26" hidden="1" outlineLevel="1" x14ac:dyDescent="0.25">
      <c r="A85" s="18"/>
      <c r="B85" s="38">
        <f t="shared" si="50"/>
        <v>11</v>
      </c>
      <c r="C85" s="54">
        <f t="shared" si="43"/>
        <v>119.10711927865951</v>
      </c>
      <c r="D85" s="33">
        <f>C85*VLOOKUP($A$75,Ταρίφες!$A$6:$G$23,$K$6,FALSE)*(1+$F$3)^(B85-1)</f>
        <v>60744.630832116352</v>
      </c>
      <c r="E85" s="33">
        <f>C85*VLOOKUP($A$75,Ταρίφες!$A$6:$G$23,$K$7,FALSE)*(1+$F$3)^(B85-1)</f>
        <v>51216.061289823592</v>
      </c>
      <c r="F85" s="46">
        <f t="shared" si="39"/>
        <v>-2437.9888399895144</v>
      </c>
      <c r="G85" s="47">
        <f t="shared" si="40"/>
        <v>-975.1955359958057</v>
      </c>
      <c r="H85" s="47">
        <f t="shared" si="41"/>
        <v>-3413.18437598532</v>
      </c>
      <c r="I85" s="46">
        <f t="shared" si="42"/>
        <v>-5485.4748899764072</v>
      </c>
      <c r="J85" s="47">
        <f t="shared" si="44"/>
        <v>-12110</v>
      </c>
      <c r="K85" s="47">
        <f t="shared" si="45"/>
        <v>-9443.9246694440208</v>
      </c>
      <c r="L85" s="47">
        <f t="shared" si="46"/>
        <v>-6966.4965884479025</v>
      </c>
      <c r="M85" s="47">
        <f t="shared" si="47"/>
        <v>38988.862520725284</v>
      </c>
      <c r="N85" s="47">
        <f t="shared" si="48"/>
        <v>31937.721059428644</v>
      </c>
      <c r="O85" s="34"/>
      <c r="P85" s="35"/>
      <c r="Q85" s="35"/>
      <c r="R85" s="33"/>
      <c r="S85" s="43"/>
      <c r="T85" s="19"/>
      <c r="U85" s="27">
        <f t="shared" si="49"/>
        <v>38988.862520725284</v>
      </c>
      <c r="V85" s="28">
        <f t="shared" si="49"/>
        <v>31937.721059428644</v>
      </c>
      <c r="W85" s="43"/>
      <c r="X85" s="19"/>
      <c r="Y85" s="42">
        <f t="shared" si="51"/>
        <v>0</v>
      </c>
      <c r="Z85" s="42">
        <f t="shared" si="51"/>
        <v>0</v>
      </c>
    </row>
    <row r="86" spans="1:26" hidden="1" outlineLevel="1" x14ac:dyDescent="0.25">
      <c r="A86" s="18"/>
      <c r="B86" s="38">
        <f t="shared" si="50"/>
        <v>12</v>
      </c>
      <c r="C86" s="54">
        <f t="shared" si="43"/>
        <v>117.91604808587292</v>
      </c>
      <c r="D86" s="33">
        <f>C86*VLOOKUP($A$75,Ταρίφες!$A$6:$G$23,$K$6,FALSE)*(1+$F$3)^(B86-1)</f>
        <v>60137.184523795186</v>
      </c>
      <c r="E86" s="33">
        <f>C86*VLOOKUP($A$75,Ταρίφες!$A$6:$G$23,$K$7,FALSE)*(1+$F$3)^(B86-1)</f>
        <v>50703.900676925354</v>
      </c>
      <c r="F86" s="46">
        <f t="shared" si="39"/>
        <v>-2486.7486167893039</v>
      </c>
      <c r="G86" s="47">
        <f t="shared" si="40"/>
        <v>-994.69944671572159</v>
      </c>
      <c r="H86" s="47">
        <f t="shared" si="41"/>
        <v>-3481.4480635050259</v>
      </c>
      <c r="I86" s="46">
        <f t="shared" si="42"/>
        <v>-5595.1843877759338</v>
      </c>
      <c r="J86" s="47">
        <f t="shared" si="44"/>
        <v>-12110</v>
      </c>
      <c r="K86" s="47">
        <f t="shared" si="45"/>
        <v>-9221.9670423423922</v>
      </c>
      <c r="L86" s="47">
        <f t="shared" si="46"/>
        <v>-6769.3132421562359</v>
      </c>
      <c r="M86" s="47">
        <f t="shared" si="47"/>
        <v>38357.136966666803</v>
      </c>
      <c r="N86" s="47">
        <f t="shared" si="48"/>
        <v>31376.506919983131</v>
      </c>
      <c r="O86" s="34"/>
      <c r="P86" s="35"/>
      <c r="Q86" s="35"/>
      <c r="R86" s="33"/>
      <c r="S86" s="43"/>
      <c r="T86" s="19"/>
      <c r="U86" s="27">
        <f t="shared" si="49"/>
        <v>38357.136966666803</v>
      </c>
      <c r="V86" s="28">
        <f t="shared" si="49"/>
        <v>31376.506919983131</v>
      </c>
      <c r="W86" s="43"/>
      <c r="X86" s="19"/>
      <c r="Y86" s="42">
        <f t="shared" si="51"/>
        <v>0</v>
      </c>
      <c r="Z86" s="42">
        <f t="shared" si="51"/>
        <v>0</v>
      </c>
    </row>
    <row r="87" spans="1:26" hidden="1" outlineLevel="1" x14ac:dyDescent="0.25">
      <c r="A87" s="18"/>
      <c r="B87" s="38">
        <f t="shared" si="50"/>
        <v>13</v>
      </c>
      <c r="C87" s="54">
        <f t="shared" si="43"/>
        <v>116.73688760501419</v>
      </c>
      <c r="D87" s="33">
        <f>C87*VLOOKUP($A$75,Ταρίφες!$A$6:$G$23,$K$6,FALSE)*(1+$F$3)^(B87-1)</f>
        <v>59535.812678557239</v>
      </c>
      <c r="E87" s="33">
        <f>C87*VLOOKUP($A$75,Ταρίφες!$A$6:$G$23,$K$7,FALSE)*(1+$F$3)^(B87-1)</f>
        <v>50196.861670156104</v>
      </c>
      <c r="F87" s="46">
        <f t="shared" si="39"/>
        <v>-2536.4835891250905</v>
      </c>
      <c r="G87" s="47">
        <f t="shared" si="40"/>
        <v>-1014.5934356500362</v>
      </c>
      <c r="H87" s="47">
        <f t="shared" si="41"/>
        <v>-3551.0770247751266</v>
      </c>
      <c r="I87" s="46">
        <f t="shared" si="42"/>
        <v>-5707.0880755314538</v>
      </c>
      <c r="J87" s="47">
        <f t="shared" si="44"/>
        <v>-12110</v>
      </c>
      <c r="K87" s="47">
        <f t="shared" si="45"/>
        <v>-9000.3083439036382</v>
      </c>
      <c r="L87" s="47">
        <f t="shared" si="46"/>
        <v>-6572.1810817193436</v>
      </c>
      <c r="M87" s="47">
        <f t="shared" si="47"/>
        <v>37726.262209571898</v>
      </c>
      <c r="N87" s="47">
        <f t="shared" si="48"/>
        <v>30815.438463355054</v>
      </c>
      <c r="O87" s="34"/>
      <c r="P87" s="35"/>
      <c r="Q87" s="35"/>
      <c r="R87" s="33"/>
      <c r="S87" s="43"/>
      <c r="T87" s="19"/>
      <c r="U87" s="27">
        <f t="shared" si="49"/>
        <v>37726.262209571898</v>
      </c>
      <c r="V87" s="28">
        <f t="shared" si="49"/>
        <v>30815.438463355054</v>
      </c>
      <c r="W87" s="43"/>
      <c r="X87" s="19"/>
      <c r="Y87" s="42">
        <f t="shared" si="51"/>
        <v>0</v>
      </c>
      <c r="Z87" s="42">
        <f t="shared" si="51"/>
        <v>0</v>
      </c>
    </row>
    <row r="88" spans="1:26" hidden="1" outlineLevel="1" x14ac:dyDescent="0.25">
      <c r="A88" s="18"/>
      <c r="B88" s="38">
        <f t="shared" si="50"/>
        <v>14</v>
      </c>
      <c r="C88" s="54">
        <f t="shared" si="43"/>
        <v>115.56951872896404</v>
      </c>
      <c r="D88" s="33">
        <f>C88*VLOOKUP($A$75,Ταρίφες!$A$6:$G$23,$K$6,FALSE)*(1+$F$3)^(B88-1)</f>
        <v>58940.454551771661</v>
      </c>
      <c r="E88" s="33">
        <f>C88*VLOOKUP($A$75,Ταρίφες!$A$6:$G$23,$K$7,FALSE)*(1+$F$3)^(B88-1)</f>
        <v>49694.893053454536</v>
      </c>
      <c r="F88" s="46">
        <f t="shared" si="39"/>
        <v>-2587.213260907592</v>
      </c>
      <c r="G88" s="47">
        <f t="shared" si="40"/>
        <v>-1034.8853043630368</v>
      </c>
      <c r="H88" s="47">
        <f t="shared" si="41"/>
        <v>-3622.098565270629</v>
      </c>
      <c r="I88" s="46">
        <f t="shared" si="42"/>
        <v>-5821.2298370420822</v>
      </c>
      <c r="J88" s="47">
        <f t="shared" si="44"/>
        <v>-12110</v>
      </c>
      <c r="K88" s="47">
        <f t="shared" si="45"/>
        <v>-8778.9071718889645</v>
      </c>
      <c r="L88" s="47">
        <f t="shared" si="46"/>
        <v>-6375.0611823265117</v>
      </c>
      <c r="M88" s="47">
        <f t="shared" si="47"/>
        <v>37096.120412299366</v>
      </c>
      <c r="N88" s="47">
        <f t="shared" si="48"/>
        <v>30254.404903544688</v>
      </c>
      <c r="O88" s="34"/>
      <c r="P88" s="35"/>
      <c r="Q88" s="35"/>
      <c r="R88" s="33"/>
      <c r="S88" s="43"/>
      <c r="T88" s="19"/>
      <c r="U88" s="27">
        <f t="shared" si="49"/>
        <v>37096.120412299366</v>
      </c>
      <c r="V88" s="28">
        <f t="shared" si="49"/>
        <v>30254.404903544688</v>
      </c>
      <c r="W88" s="43"/>
      <c r="X88" s="19"/>
      <c r="Y88" s="42">
        <f t="shared" si="51"/>
        <v>0</v>
      </c>
      <c r="Z88" s="42">
        <f t="shared" si="51"/>
        <v>0</v>
      </c>
    </row>
    <row r="89" spans="1:26" hidden="1" outlineLevel="1" x14ac:dyDescent="0.25">
      <c r="A89" s="18"/>
      <c r="B89" s="38">
        <f t="shared" si="50"/>
        <v>15</v>
      </c>
      <c r="C89" s="54">
        <f t="shared" si="43"/>
        <v>114.4138235416744</v>
      </c>
      <c r="D89" s="33">
        <f>C89*VLOOKUP($A$75,Ταρίφες!$A$6:$G$23,$K$6,FALSE)*(1+$F$3)^(B89-1)</f>
        <v>58351.050006253943</v>
      </c>
      <c r="E89" s="33">
        <f>C89*VLOOKUP($A$75,Ταρίφες!$A$6:$G$23,$K$7,FALSE)*(1+$F$3)^(B89-1)</f>
        <v>49197.944122919995</v>
      </c>
      <c r="F89" s="46">
        <f t="shared" si="39"/>
        <v>-2638.9575261257442</v>
      </c>
      <c r="G89" s="47">
        <f t="shared" si="40"/>
        <v>-1055.5830104502977</v>
      </c>
      <c r="H89" s="47">
        <f t="shared" si="41"/>
        <v>-3694.5405365760421</v>
      </c>
      <c r="I89" s="46">
        <f t="shared" si="42"/>
        <v>-5937.6544337829246</v>
      </c>
      <c r="J89" s="47">
        <f t="shared" si="44"/>
        <v>-12110</v>
      </c>
      <c r="K89" s="47">
        <f t="shared" si="45"/>
        <v>-8557.7217698229233</v>
      </c>
      <c r="L89" s="47">
        <f t="shared" si="46"/>
        <v>-6177.9142401560966</v>
      </c>
      <c r="M89" s="47">
        <f t="shared" si="47"/>
        <v>36466.592729496013</v>
      </c>
      <c r="N89" s="47">
        <f t="shared" si="48"/>
        <v>29693.294375828889</v>
      </c>
      <c r="O89" s="34"/>
      <c r="P89" s="35"/>
      <c r="Q89" s="35"/>
      <c r="R89" s="33"/>
      <c r="S89" s="43"/>
      <c r="T89" s="19"/>
      <c r="U89" s="27">
        <f t="shared" si="49"/>
        <v>36466.592729496013</v>
      </c>
      <c r="V89" s="28">
        <f t="shared" si="49"/>
        <v>29693.294375828889</v>
      </c>
      <c r="W89" s="43"/>
      <c r="X89" s="19"/>
      <c r="Y89" s="42">
        <f t="shared" si="51"/>
        <v>0</v>
      </c>
      <c r="Z89" s="42">
        <f t="shared" si="51"/>
        <v>0</v>
      </c>
    </row>
    <row r="90" spans="1:26" hidden="1" outlineLevel="1" x14ac:dyDescent="0.25">
      <c r="A90" s="18"/>
      <c r="B90" s="38">
        <f t="shared" si="50"/>
        <v>16</v>
      </c>
      <c r="C90" s="54">
        <f t="shared" si="43"/>
        <v>113.26968530625766</v>
      </c>
      <c r="D90" s="33">
        <f>C90*VLOOKUP($A$75,Ταρίφες!$A$6:$G$23,$K$6,FALSE)*(1+$F$3)^(B90-1)</f>
        <v>57767.539506191402</v>
      </c>
      <c r="E90" s="33">
        <f>C90*VLOOKUP($A$75,Ταρίφες!$A$6:$G$23,$K$7,FALSE)*(1+$F$3)^(B90-1)</f>
        <v>48705.964681690792</v>
      </c>
      <c r="F90" s="46">
        <f t="shared" si="39"/>
        <v>-2691.7366766482583</v>
      </c>
      <c r="G90" s="47">
        <f t="shared" si="40"/>
        <v>-1076.6946706593035</v>
      </c>
      <c r="H90" s="47">
        <f t="shared" si="41"/>
        <v>-3768.4313473075617</v>
      </c>
      <c r="I90" s="46">
        <f t="shared" si="42"/>
        <v>-6056.4075224585813</v>
      </c>
      <c r="J90" s="47">
        <f t="shared" si="44"/>
        <v>-12110</v>
      </c>
      <c r="K90" s="47">
        <f t="shared" si="45"/>
        <v>-8336.7100151706018</v>
      </c>
      <c r="L90" s="47">
        <f t="shared" si="46"/>
        <v>-5980.7005608004429</v>
      </c>
      <c r="M90" s="47">
        <f t="shared" si="47"/>
        <v>35837.559273947096</v>
      </c>
      <c r="N90" s="47">
        <f t="shared" si="48"/>
        <v>29131.993903816645</v>
      </c>
      <c r="O90" s="34"/>
      <c r="P90" s="35"/>
      <c r="Q90" s="35"/>
      <c r="R90" s="33"/>
      <c r="S90" s="43"/>
      <c r="T90" s="19"/>
      <c r="U90" s="27">
        <f t="shared" si="49"/>
        <v>35837.559273947096</v>
      </c>
      <c r="V90" s="28">
        <f t="shared" si="49"/>
        <v>29131.993903816645</v>
      </c>
      <c r="W90" s="43"/>
      <c r="X90" s="19"/>
      <c r="Y90" s="42">
        <f t="shared" si="51"/>
        <v>0</v>
      </c>
      <c r="Z90" s="42">
        <f t="shared" si="51"/>
        <v>0</v>
      </c>
    </row>
    <row r="91" spans="1:26" hidden="1" outlineLevel="1" x14ac:dyDescent="0.25">
      <c r="A91" s="18"/>
      <c r="B91" s="38">
        <f t="shared" si="50"/>
        <v>17</v>
      </c>
      <c r="C91" s="54">
        <f t="shared" si="43"/>
        <v>112.13698845319507</v>
      </c>
      <c r="D91" s="33">
        <f>C91*VLOOKUP($A$75,Ταρίφες!$A$6:$G$23,$K$6,FALSE)*(1+$F$3)^(B91-1)</f>
        <v>57189.864111129486</v>
      </c>
      <c r="E91" s="33">
        <f>C91*VLOOKUP($A$75,Ταρίφες!$A$6:$G$23,$K$7,FALSE)*(1+$F$3)^(B91-1)</f>
        <v>48218.905034873882</v>
      </c>
      <c r="F91" s="46">
        <f t="shared" si="39"/>
        <v>-2745.5714101812241</v>
      </c>
      <c r="G91" s="47">
        <f t="shared" si="40"/>
        <v>-1098.2285640724897</v>
      </c>
      <c r="H91" s="47">
        <f t="shared" si="41"/>
        <v>-3843.7999742537136</v>
      </c>
      <c r="I91" s="46">
        <f t="shared" si="42"/>
        <v>-6177.5356729077539</v>
      </c>
      <c r="J91" s="47">
        <f t="shared" si="44"/>
        <v>-12110</v>
      </c>
      <c r="K91" s="47">
        <f t="shared" si="45"/>
        <v>-8115.8294073257193</v>
      </c>
      <c r="L91" s="47">
        <f t="shared" si="46"/>
        <v>-5783.3800474992622</v>
      </c>
      <c r="M91" s="47">
        <f t="shared" si="47"/>
        <v>35208.899082388583</v>
      </c>
      <c r="N91" s="47">
        <f t="shared" si="48"/>
        <v>28570.38936595944</v>
      </c>
      <c r="O91" s="34"/>
      <c r="P91" s="35"/>
      <c r="Q91" s="35"/>
      <c r="R91" s="33"/>
      <c r="S91" s="43"/>
      <c r="T91" s="19"/>
      <c r="U91" s="27">
        <f t="shared" si="49"/>
        <v>35208.899082388583</v>
      </c>
      <c r="V91" s="28">
        <f t="shared" si="49"/>
        <v>28570.38936595944</v>
      </c>
      <c r="W91" s="43"/>
      <c r="X91" s="19"/>
      <c r="Y91" s="42">
        <f t="shared" si="51"/>
        <v>0</v>
      </c>
      <c r="Z91" s="42">
        <f t="shared" si="51"/>
        <v>0</v>
      </c>
    </row>
    <row r="92" spans="1:26" hidden="1" outlineLevel="1" x14ac:dyDescent="0.25">
      <c r="A92" s="18"/>
      <c r="B92" s="38">
        <f t="shared" si="50"/>
        <v>18</v>
      </c>
      <c r="C92" s="54">
        <f t="shared" si="43"/>
        <v>111.01561856866311</v>
      </c>
      <c r="D92" s="33">
        <f>C92*VLOOKUP($A$75,Ταρίφες!$A$6:$G$23,$K$6,FALSE)*(1+$F$3)^(B92-1)</f>
        <v>56617.965470018185</v>
      </c>
      <c r="E92" s="33">
        <f>C92*VLOOKUP($A$75,Ταρίφες!$A$6:$G$23,$K$7,FALSE)*(1+$F$3)^(B92-1)</f>
        <v>47736.715984525137</v>
      </c>
      <c r="F92" s="46">
        <f t="shared" si="39"/>
        <v>-2800.4828383848489</v>
      </c>
      <c r="G92" s="47">
        <f t="shared" si="40"/>
        <v>-1120.1931353539396</v>
      </c>
      <c r="H92" s="47">
        <f t="shared" si="41"/>
        <v>-3920.6759737387883</v>
      </c>
      <c r="I92" s="46">
        <f t="shared" si="42"/>
        <v>-6301.0863863659097</v>
      </c>
      <c r="J92" s="47">
        <f t="shared" si="44"/>
        <v>-12110</v>
      </c>
      <c r="K92" s="47">
        <f t="shared" si="45"/>
        <v>-7895.0370554054225</v>
      </c>
      <c r="L92" s="47">
        <f t="shared" si="46"/>
        <v>-5585.9121891772293</v>
      </c>
      <c r="M92" s="47">
        <f t="shared" si="47"/>
        <v>34580.490080769276</v>
      </c>
      <c r="N92" s="47">
        <f t="shared" si="48"/>
        <v>28008.365461504422</v>
      </c>
      <c r="O92" s="34"/>
      <c r="P92" s="35"/>
      <c r="Q92" s="35"/>
      <c r="R92" s="33"/>
      <c r="S92" s="43"/>
      <c r="T92" s="19"/>
      <c r="U92" s="27">
        <f t="shared" si="49"/>
        <v>34580.490080769276</v>
      </c>
      <c r="V92" s="28">
        <f t="shared" si="49"/>
        <v>28008.365461504422</v>
      </c>
      <c r="W92" s="43"/>
      <c r="X92" s="19"/>
      <c r="Y92" s="42">
        <f t="shared" si="51"/>
        <v>0</v>
      </c>
      <c r="Z92" s="42">
        <f t="shared" si="51"/>
        <v>0</v>
      </c>
    </row>
    <row r="93" spans="1:26" hidden="1" outlineLevel="1" x14ac:dyDescent="0.25">
      <c r="A93" s="63"/>
      <c r="B93" s="62">
        <f t="shared" si="50"/>
        <v>19</v>
      </c>
      <c r="C93" s="64">
        <f t="shared" si="43"/>
        <v>109.90546238297648</v>
      </c>
      <c r="D93" s="33">
        <f>C93*VLOOKUP($A$75,Ταρίφες!$A$6:$G$23,$K$6,FALSE)*(1+$F$3)^(B93-1)</f>
        <v>56051.785815318006</v>
      </c>
      <c r="E93" s="33">
        <f>C93*VLOOKUP($A$75,Ταρίφες!$A$6:$G$23,$K$7,FALSE)*(1+$F$3)^(B93-1)</f>
        <v>47259.348824679888</v>
      </c>
      <c r="F93" s="66">
        <f t="shared" si="39"/>
        <v>-2856.4924951525454</v>
      </c>
      <c r="G93" s="67">
        <f t="shared" si="40"/>
        <v>-1142.5969980610182</v>
      </c>
      <c r="H93" s="67">
        <f t="shared" si="41"/>
        <v>-3999.0894932135634</v>
      </c>
      <c r="I93" s="66">
        <f t="shared" si="42"/>
        <v>-6427.1081140932274</v>
      </c>
      <c r="J93" s="67">
        <f t="shared" si="44"/>
        <v>-12110</v>
      </c>
      <c r="K93" s="67">
        <f t="shared" si="45"/>
        <v>-7674.2896658473892</v>
      </c>
      <c r="L93" s="67">
        <f t="shared" si="46"/>
        <v>-5388.2560482814788</v>
      </c>
      <c r="M93" s="67">
        <f t="shared" si="47"/>
        <v>33952.209048950259</v>
      </c>
      <c r="N93" s="67">
        <f t="shared" si="48"/>
        <v>27445.805675878051</v>
      </c>
      <c r="O93" s="68"/>
      <c r="P93" s="69"/>
      <c r="Q93" s="69"/>
      <c r="R93" s="65"/>
      <c r="S93" s="70"/>
      <c r="T93" s="71"/>
      <c r="U93" s="27">
        <f t="shared" si="49"/>
        <v>33952.209048950259</v>
      </c>
      <c r="V93" s="28">
        <f t="shared" si="49"/>
        <v>27445.805675878051</v>
      </c>
      <c r="W93" s="70"/>
      <c r="X93" s="71"/>
      <c r="Y93" s="42">
        <f t="shared" si="51"/>
        <v>0</v>
      </c>
      <c r="Z93" s="42">
        <f t="shared" si="51"/>
        <v>0</v>
      </c>
    </row>
    <row r="94" spans="1:26" s="40" customFormat="1" hidden="1" outlineLevel="1" x14ac:dyDescent="0.25">
      <c r="A94" s="18"/>
      <c r="B94" s="38">
        <v>20</v>
      </c>
      <c r="C94" s="54">
        <f>C92*(1-$F$2)</f>
        <v>109.90546238297648</v>
      </c>
      <c r="D94" s="33">
        <f>C94*VLOOKUP($A$75,Ταρίφες!$A$6:$G$23,$K$6,FALSE)*(1+$F$3)^(B94-1)</f>
        <v>56051.785815318006</v>
      </c>
      <c r="E94" s="33">
        <f>C94*VLOOKUP($A$75,Ταρίφες!$A$6:$G$23,$K$7,FALSE)*(1+$F$3)^(B94-1)</f>
        <v>47259.348824679888</v>
      </c>
      <c r="F94" s="46">
        <f t="shared" si="39"/>
        <v>-2913.6223450555963</v>
      </c>
      <c r="G94" s="47">
        <f t="shared" si="40"/>
        <v>-1165.4489380222385</v>
      </c>
      <c r="H94" s="47">
        <f t="shared" si="41"/>
        <v>-4079.0712830778348</v>
      </c>
      <c r="I94" s="46">
        <f t="shared" si="42"/>
        <v>-6555.6502763750914</v>
      </c>
      <c r="J94" s="47">
        <f t="shared" si="44"/>
        <v>-12110</v>
      </c>
      <c r="K94" s="47">
        <f t="shared" si="45"/>
        <v>-7599.2781729246835</v>
      </c>
      <c r="L94" s="47">
        <f t="shared" si="46"/>
        <v>-5313.2445553587731</v>
      </c>
      <c r="M94" s="47">
        <f t="shared" si="47"/>
        <v>33738.714799862559</v>
      </c>
      <c r="N94" s="47">
        <f t="shared" si="48"/>
        <v>27232.311426790351</v>
      </c>
      <c r="O94" s="34"/>
      <c r="P94" s="35"/>
      <c r="Q94" s="35"/>
      <c r="R94" s="33"/>
      <c r="S94" s="43"/>
      <c r="T94" s="19"/>
      <c r="U94" s="72">
        <f>M94</f>
        <v>33738.714799862559</v>
      </c>
      <c r="V94" s="73">
        <f t="shared" ref="V94" si="52">N94</f>
        <v>27232.311426790351</v>
      </c>
      <c r="W94" s="43"/>
      <c r="X94" s="19"/>
      <c r="Y94" s="42">
        <f t="shared" si="51"/>
        <v>0</v>
      </c>
      <c r="Z94" s="42">
        <f t="shared" si="51"/>
        <v>0</v>
      </c>
    </row>
    <row r="95" spans="1:26" s="40" customFormat="1" hidden="1" outlineLevel="1" x14ac:dyDescent="0.25">
      <c r="B95" s="50"/>
      <c r="C95" s="56"/>
      <c r="D95" s="22"/>
      <c r="E95" s="22"/>
      <c r="F95" s="48"/>
      <c r="G95" s="51"/>
      <c r="H95" s="51"/>
      <c r="I95" s="48"/>
      <c r="J95" s="51"/>
      <c r="K95" s="51"/>
      <c r="L95" s="51"/>
      <c r="M95" s="51"/>
      <c r="N95" s="51"/>
      <c r="O95" s="17"/>
      <c r="P95" s="25"/>
      <c r="Q95" s="25"/>
      <c r="R95" s="22"/>
      <c r="S95" s="52"/>
      <c r="T95" s="44"/>
      <c r="U95" s="74">
        <f>O96</f>
        <v>-290000</v>
      </c>
      <c r="V95" s="74">
        <f>R96</f>
        <v>-219213.623046875</v>
      </c>
      <c r="W95" s="52"/>
      <c r="X95" s="44"/>
      <c r="Y95" s="42">
        <f t="shared" si="51"/>
        <v>0</v>
      </c>
      <c r="Z95" s="42">
        <f t="shared" si="51"/>
        <v>0</v>
      </c>
    </row>
    <row r="96" spans="1:26" collapsed="1" x14ac:dyDescent="0.25">
      <c r="A96" s="32" t="str">
        <f>Ταρίφες!A14</f>
        <v>Α Τριμ. 2011</v>
      </c>
      <c r="B96" s="38">
        <f>1</f>
        <v>1</v>
      </c>
      <c r="C96" s="54">
        <f>$F$8*$K$2/1000</f>
        <v>131.69999999999999</v>
      </c>
      <c r="D96" s="33">
        <f>C96*VLOOKUP($A$96,Ταρίφες!$A$6:$G$23,$K$6,FALSE)*(1+$F$3)^(B96-1)</f>
        <v>67167</v>
      </c>
      <c r="E96" s="33">
        <f>C96*VLOOKUP($A$96,Ταρίφες!$A$6:$G$23,$K$7,FALSE)*(1+$F$3)^(B96-1)</f>
        <v>54655.499999999993</v>
      </c>
      <c r="F96" s="46">
        <f t="shared" ref="F96:F115" si="53">-($K$5*(1+$F$4)^(B96-$B$12))</f>
        <v>-2000</v>
      </c>
      <c r="G96" s="47">
        <f t="shared" ref="G96:G115" si="54">-$K$2*10*(1+$F$4)^(B96-$B$12)</f>
        <v>-800</v>
      </c>
      <c r="H96" s="47">
        <f t="shared" ref="H96:H114" si="55">-$K$4*(1+$F$4)^(B96-$B$12)</f>
        <v>-2800</v>
      </c>
      <c r="I96" s="46">
        <f t="shared" ref="I96:I114" si="56">-(4500*(1+$F$4)^(B96-$B$12))</f>
        <v>-4500</v>
      </c>
      <c r="J96" s="47">
        <f>$O$96*4%</f>
        <v>-11600</v>
      </c>
      <c r="K96" s="47">
        <f>-(D96+SUM(F96:J96))*$F$5</f>
        <v>-11821.42</v>
      </c>
      <c r="L96" s="47">
        <f>-(E96+SUM(F96:J96))*$F$5</f>
        <v>-8568.4299999999985</v>
      </c>
      <c r="M96" s="47">
        <f>D96+SUM(F96:I96)+K96</f>
        <v>45245.58</v>
      </c>
      <c r="N96" s="47">
        <f>E96+SUM(F96:I96)+L96</f>
        <v>35987.069999999992</v>
      </c>
      <c r="O96" s="35">
        <f>-VLOOKUP(A96,'Κόστος Κατασκευής'!$A$4:$Q$17,$K$8,FALSE)</f>
        <v>-290000</v>
      </c>
      <c r="P96" s="36">
        <f>$K$3</f>
        <v>96000</v>
      </c>
      <c r="Q96" s="36">
        <f>Q75*15/16</f>
        <v>-25213.623046875004</v>
      </c>
      <c r="R96" s="37">
        <f>SUM(O96:Q96)</f>
        <v>-219213.623046875</v>
      </c>
      <c r="S96" s="42">
        <f>IRR(U95:U115)</f>
        <v>0.131111613866983</v>
      </c>
      <c r="T96" s="42">
        <f>IRR(V95:V115)</f>
        <v>0.13898726690601881</v>
      </c>
      <c r="U96" s="27">
        <f>M96</f>
        <v>45245.58</v>
      </c>
      <c r="V96" s="28">
        <f>N96</f>
        <v>35987.069999999992</v>
      </c>
      <c r="W96" s="42">
        <f>'IRR ΔΣ Ισχύον'!S96</f>
        <v>0.14163943499010023</v>
      </c>
      <c r="X96" s="42">
        <f>'IRR ΔΣ Ισχύον'!T96</f>
        <v>0.13907681103795033</v>
      </c>
      <c r="Y96" s="42">
        <f t="shared" si="51"/>
        <v>-1.0527821123117231E-2</v>
      </c>
      <c r="Z96" s="42">
        <f t="shared" si="51"/>
        <v>-8.9544131931518223E-5</v>
      </c>
    </row>
    <row r="97" spans="1:26" hidden="1" outlineLevel="1" x14ac:dyDescent="0.25">
      <c r="A97" s="18"/>
      <c r="B97" s="38">
        <f>B96+1</f>
        <v>2</v>
      </c>
      <c r="C97" s="54">
        <f t="shared" ref="C97:C114" si="57">C96*(1-$F$2)</f>
        <v>130.38299999999998</v>
      </c>
      <c r="D97" s="33">
        <f>C97*VLOOKUP($A$96,Ταρίφες!$A$6:$G$23,$K$6,FALSE)*(1+$F$3)^(B97-1)</f>
        <v>66495.329999999987</v>
      </c>
      <c r="E97" s="33">
        <f>C97*VLOOKUP($A$96,Ταρίφες!$A$6:$G$23,$K$7,FALSE)*(1+$F$3)^(B97-1)</f>
        <v>54108.944999999992</v>
      </c>
      <c r="F97" s="46">
        <f t="shared" si="53"/>
        <v>-2040</v>
      </c>
      <c r="G97" s="47">
        <f t="shared" si="54"/>
        <v>-816</v>
      </c>
      <c r="H97" s="47">
        <f t="shared" si="55"/>
        <v>-2856</v>
      </c>
      <c r="I97" s="46">
        <f t="shared" si="56"/>
        <v>-4590</v>
      </c>
      <c r="J97" s="47">
        <f t="shared" ref="J97:J115" si="58">$O$96*4%</f>
        <v>-11600</v>
      </c>
      <c r="K97" s="47">
        <f t="shared" ref="K97:K114" si="59">-(D97+SUM(F97:J97))*$F$5</f>
        <v>-11594.265799999997</v>
      </c>
      <c r="L97" s="47">
        <f t="shared" ref="L97:L114" si="60">-(E97+SUM(F97:J97))*$F$5</f>
        <v>-8373.805699999999</v>
      </c>
      <c r="M97" s="47">
        <f t="shared" ref="M97:M114" si="61">D97+SUM(F97:I97)+K97</f>
        <v>44599.064199999993</v>
      </c>
      <c r="N97" s="47">
        <f t="shared" ref="N97:N114" si="62">E97+SUM(F97:I97)+L97</f>
        <v>35433.139299999995</v>
      </c>
      <c r="O97" s="34"/>
      <c r="P97" s="35"/>
      <c r="Q97" s="35"/>
      <c r="R97" s="33"/>
      <c r="S97" s="43"/>
      <c r="T97" s="19"/>
      <c r="U97" s="27">
        <f t="shared" ref="U97:V114" si="63">M97</f>
        <v>44599.064199999993</v>
      </c>
      <c r="V97" s="28">
        <f t="shared" si="63"/>
        <v>35433.139299999995</v>
      </c>
      <c r="W97" s="43"/>
      <c r="X97" s="19"/>
      <c r="Y97" s="42">
        <f t="shared" si="51"/>
        <v>0</v>
      </c>
      <c r="Z97" s="42">
        <f t="shared" si="51"/>
        <v>0</v>
      </c>
    </row>
    <row r="98" spans="1:26" hidden="1" outlineLevel="1" x14ac:dyDescent="0.25">
      <c r="A98" s="18"/>
      <c r="B98" s="38">
        <f t="shared" ref="B98:B114" si="64">B97+1</f>
        <v>3</v>
      </c>
      <c r="C98" s="54">
        <f t="shared" si="57"/>
        <v>129.07916999999998</v>
      </c>
      <c r="D98" s="33">
        <f>C98*VLOOKUP($A$96,Ταρίφες!$A$6:$G$23,$K$6,FALSE)*(1+$F$3)^(B98-1)</f>
        <v>65830.376699999993</v>
      </c>
      <c r="E98" s="33">
        <f>C98*VLOOKUP($A$96,Ταρίφες!$A$6:$G$23,$K$7,FALSE)*(1+$F$3)^(B98-1)</f>
        <v>53567.855549999993</v>
      </c>
      <c r="F98" s="46">
        <f t="shared" si="53"/>
        <v>-2080.8000000000002</v>
      </c>
      <c r="G98" s="47">
        <f t="shared" si="54"/>
        <v>-832.31999999999994</v>
      </c>
      <c r="H98" s="47">
        <f t="shared" si="55"/>
        <v>-2913.12</v>
      </c>
      <c r="I98" s="46">
        <f t="shared" si="56"/>
        <v>-4681.8</v>
      </c>
      <c r="J98" s="47">
        <f t="shared" si="58"/>
        <v>-11600</v>
      </c>
      <c r="K98" s="47">
        <f t="shared" si="59"/>
        <v>-11367.807541999999</v>
      </c>
      <c r="L98" s="47">
        <f t="shared" si="60"/>
        <v>-8179.5520429999979</v>
      </c>
      <c r="M98" s="47">
        <f t="shared" si="61"/>
        <v>43954.52915799999</v>
      </c>
      <c r="N98" s="47">
        <f t="shared" si="62"/>
        <v>34880.263506999996</v>
      </c>
      <c r="O98" s="34"/>
      <c r="P98" s="35"/>
      <c r="Q98" s="35"/>
      <c r="R98" s="33"/>
      <c r="S98" s="43"/>
      <c r="T98" s="19"/>
      <c r="U98" s="27">
        <f t="shared" si="63"/>
        <v>43954.52915799999</v>
      </c>
      <c r="V98" s="28">
        <f t="shared" si="63"/>
        <v>34880.263506999996</v>
      </c>
      <c r="W98" s="43"/>
      <c r="X98" s="19"/>
      <c r="Y98" s="42">
        <f t="shared" si="51"/>
        <v>0</v>
      </c>
      <c r="Z98" s="42">
        <f t="shared" si="51"/>
        <v>0</v>
      </c>
    </row>
    <row r="99" spans="1:26" hidden="1" outlineLevel="1" x14ac:dyDescent="0.25">
      <c r="A99" s="18"/>
      <c r="B99" s="38">
        <f t="shared" si="64"/>
        <v>4</v>
      </c>
      <c r="C99" s="54">
        <f t="shared" si="57"/>
        <v>127.78837829999998</v>
      </c>
      <c r="D99" s="33">
        <f>C99*VLOOKUP($A$96,Ταρίφες!$A$6:$G$23,$K$6,FALSE)*(1+$F$3)^(B99-1)</f>
        <v>65172.072932999989</v>
      </c>
      <c r="E99" s="33">
        <f>C99*VLOOKUP($A$96,Ταρίφες!$A$6:$G$23,$K$7,FALSE)*(1+$F$3)^(B99-1)</f>
        <v>53032.176994499991</v>
      </c>
      <c r="F99" s="46">
        <f t="shared" si="53"/>
        <v>-2122.4159999999997</v>
      </c>
      <c r="G99" s="47">
        <f t="shared" si="54"/>
        <v>-848.96639999999991</v>
      </c>
      <c r="H99" s="47">
        <f t="shared" si="55"/>
        <v>-2971.3824</v>
      </c>
      <c r="I99" s="46">
        <f t="shared" si="56"/>
        <v>-4775.4359999999997</v>
      </c>
      <c r="J99" s="47">
        <f t="shared" si="58"/>
        <v>-11600</v>
      </c>
      <c r="K99" s="47">
        <f t="shared" si="59"/>
        <v>-11142.006754579998</v>
      </c>
      <c r="L99" s="47">
        <f t="shared" si="60"/>
        <v>-7985.6338105699979</v>
      </c>
      <c r="M99" s="47">
        <f t="shared" si="61"/>
        <v>43311.865378419992</v>
      </c>
      <c r="N99" s="47">
        <f t="shared" si="62"/>
        <v>34328.342383929994</v>
      </c>
      <c r="O99" s="34"/>
      <c r="P99" s="35"/>
      <c r="Q99" s="35"/>
      <c r="R99" s="33"/>
      <c r="S99" s="43"/>
      <c r="T99" s="19"/>
      <c r="U99" s="27">
        <f t="shared" si="63"/>
        <v>43311.865378419992</v>
      </c>
      <c r="V99" s="28">
        <f t="shared" si="63"/>
        <v>34328.342383929994</v>
      </c>
      <c r="W99" s="43"/>
      <c r="X99" s="19"/>
      <c r="Y99" s="42">
        <f t="shared" si="51"/>
        <v>0</v>
      </c>
      <c r="Z99" s="42">
        <f t="shared" si="51"/>
        <v>0</v>
      </c>
    </row>
    <row r="100" spans="1:26" hidden="1" outlineLevel="1" x14ac:dyDescent="0.25">
      <c r="A100" s="18"/>
      <c r="B100" s="38">
        <f t="shared" si="64"/>
        <v>5</v>
      </c>
      <c r="C100" s="54">
        <f t="shared" si="57"/>
        <v>126.51049451699997</v>
      </c>
      <c r="D100" s="33">
        <f>C100*VLOOKUP($A$96,Ταρίφες!$A$6:$G$23,$K$6,FALSE)*(1+$F$3)^(B100-1)</f>
        <v>64520.352203669987</v>
      </c>
      <c r="E100" s="33">
        <f>C100*VLOOKUP($A$96,Ταρίφες!$A$6:$G$23,$K$7,FALSE)*(1+$F$3)^(B100-1)</f>
        <v>52501.855224554987</v>
      </c>
      <c r="F100" s="46">
        <f t="shared" si="53"/>
        <v>-2164.8643200000001</v>
      </c>
      <c r="G100" s="47">
        <f t="shared" si="54"/>
        <v>-865.94572800000003</v>
      </c>
      <c r="H100" s="47">
        <f t="shared" si="55"/>
        <v>-3030.8100479999998</v>
      </c>
      <c r="I100" s="46">
        <f t="shared" si="56"/>
        <v>-4870.9447199999995</v>
      </c>
      <c r="J100" s="47">
        <f t="shared" si="58"/>
        <v>-11600</v>
      </c>
      <c r="K100" s="47">
        <f t="shared" si="59"/>
        <v>-10916.824720794197</v>
      </c>
      <c r="L100" s="47">
        <f t="shared" si="60"/>
        <v>-7792.0155062242975</v>
      </c>
      <c r="M100" s="47">
        <f t="shared" si="61"/>
        <v>42670.962666875792</v>
      </c>
      <c r="N100" s="47">
        <f t="shared" si="62"/>
        <v>33777.27490233069</v>
      </c>
      <c r="O100" s="34"/>
      <c r="P100" s="35"/>
      <c r="Q100" s="35"/>
      <c r="R100" s="33"/>
      <c r="S100" s="43"/>
      <c r="T100" s="19"/>
      <c r="U100" s="27">
        <f t="shared" si="63"/>
        <v>42670.962666875792</v>
      </c>
      <c r="V100" s="28">
        <f t="shared" si="63"/>
        <v>33777.27490233069</v>
      </c>
      <c r="W100" s="43"/>
      <c r="X100" s="19"/>
      <c r="Y100" s="42">
        <f t="shared" si="51"/>
        <v>0</v>
      </c>
      <c r="Z100" s="42">
        <f t="shared" si="51"/>
        <v>0</v>
      </c>
    </row>
    <row r="101" spans="1:26" hidden="1" outlineLevel="1" x14ac:dyDescent="0.25">
      <c r="A101" s="18"/>
      <c r="B101" s="38">
        <f t="shared" si="64"/>
        <v>6</v>
      </c>
      <c r="C101" s="54">
        <f t="shared" si="57"/>
        <v>125.24538957182997</v>
      </c>
      <c r="D101" s="33">
        <f>C101*VLOOKUP($A$96,Ταρίφες!$A$6:$G$23,$K$6,FALSE)*(1+$F$3)^(B101-1)</f>
        <v>63875.148681633284</v>
      </c>
      <c r="E101" s="33">
        <f>C101*VLOOKUP($A$96,Ταρίφες!$A$6:$G$23,$K$7,FALSE)*(1+$F$3)^(B101-1)</f>
        <v>51976.836672309437</v>
      </c>
      <c r="F101" s="46">
        <f t="shared" si="53"/>
        <v>-2208.1616064</v>
      </c>
      <c r="G101" s="47">
        <f t="shared" si="54"/>
        <v>-883.26464255999997</v>
      </c>
      <c r="H101" s="47">
        <f t="shared" si="55"/>
        <v>-3091.4262489600001</v>
      </c>
      <c r="I101" s="46">
        <f t="shared" si="56"/>
        <v>-4968.3636144000002</v>
      </c>
      <c r="J101" s="47">
        <f t="shared" si="58"/>
        <v>-11600</v>
      </c>
      <c r="K101" s="47">
        <f t="shared" si="59"/>
        <v>-10692.222468021455</v>
      </c>
      <c r="L101" s="47">
        <f t="shared" si="60"/>
        <v>-7598.6613455972538</v>
      </c>
      <c r="M101" s="47">
        <f t="shared" si="61"/>
        <v>42031.710101291828</v>
      </c>
      <c r="N101" s="47">
        <f t="shared" si="62"/>
        <v>33226.959214392184</v>
      </c>
      <c r="O101" s="34"/>
      <c r="P101" s="35"/>
      <c r="Q101" s="35"/>
      <c r="R101" s="33"/>
      <c r="S101" s="43"/>
      <c r="T101" s="19"/>
      <c r="U101" s="27">
        <f t="shared" si="63"/>
        <v>42031.710101291828</v>
      </c>
      <c r="V101" s="28">
        <f t="shared" si="63"/>
        <v>33226.959214392184</v>
      </c>
      <c r="W101" s="43"/>
      <c r="X101" s="19"/>
      <c r="Y101" s="42">
        <f t="shared" si="51"/>
        <v>0</v>
      </c>
      <c r="Z101" s="42">
        <f t="shared" si="51"/>
        <v>0</v>
      </c>
    </row>
    <row r="102" spans="1:26" hidden="1" outlineLevel="1" x14ac:dyDescent="0.25">
      <c r="A102" s="18"/>
      <c r="B102" s="38">
        <f t="shared" si="64"/>
        <v>7</v>
      </c>
      <c r="C102" s="54">
        <f t="shared" si="57"/>
        <v>123.99293567611167</v>
      </c>
      <c r="D102" s="33">
        <f>C102*VLOOKUP($A$96,Ταρίφες!$A$6:$G$23,$K$6,FALSE)*(1+$F$3)^(B102-1)</f>
        <v>63236.397194816949</v>
      </c>
      <c r="E102" s="33">
        <f>C102*VLOOKUP($A$96,Ταρίφες!$A$6:$G$23,$K$7,FALSE)*(1+$F$3)^(B102-1)</f>
        <v>51457.068305586341</v>
      </c>
      <c r="F102" s="46">
        <f t="shared" si="53"/>
        <v>-2252.3248385280003</v>
      </c>
      <c r="G102" s="47">
        <f t="shared" si="54"/>
        <v>-900.92993541120006</v>
      </c>
      <c r="H102" s="47">
        <f t="shared" si="55"/>
        <v>-3153.2547739392003</v>
      </c>
      <c r="I102" s="46">
        <f t="shared" si="56"/>
        <v>-5067.7308866880003</v>
      </c>
      <c r="J102" s="47">
        <f t="shared" si="58"/>
        <v>-11600</v>
      </c>
      <c r="K102" s="47">
        <f t="shared" si="59"/>
        <v>-10468.160757665144</v>
      </c>
      <c r="L102" s="47">
        <f t="shared" si="60"/>
        <v>-7405.5352464651851</v>
      </c>
      <c r="M102" s="47">
        <f t="shared" si="61"/>
        <v>41393.996002585409</v>
      </c>
      <c r="N102" s="47">
        <f t="shared" si="62"/>
        <v>32677.292624554753</v>
      </c>
      <c r="O102" s="34"/>
      <c r="P102" s="35"/>
      <c r="Q102" s="35"/>
      <c r="R102" s="33"/>
      <c r="S102" s="43"/>
      <c r="T102" s="19"/>
      <c r="U102" s="27">
        <f t="shared" si="63"/>
        <v>41393.996002585409</v>
      </c>
      <c r="V102" s="28">
        <f t="shared" si="63"/>
        <v>32677.292624554753</v>
      </c>
      <c r="W102" s="43"/>
      <c r="X102" s="19"/>
      <c r="Y102" s="42">
        <f t="shared" si="51"/>
        <v>0</v>
      </c>
      <c r="Z102" s="42">
        <f t="shared" si="51"/>
        <v>0</v>
      </c>
    </row>
    <row r="103" spans="1:26" hidden="1" outlineLevel="1" x14ac:dyDescent="0.25">
      <c r="A103" s="18"/>
      <c r="B103" s="38">
        <f t="shared" si="64"/>
        <v>8</v>
      </c>
      <c r="C103" s="54">
        <f t="shared" si="57"/>
        <v>122.75300631935055</v>
      </c>
      <c r="D103" s="33">
        <f>C103*VLOOKUP($A$96,Ταρίφες!$A$6:$G$23,$K$6,FALSE)*(1+$F$3)^(B103-1)</f>
        <v>62604.033222868777</v>
      </c>
      <c r="E103" s="33">
        <f>C103*VLOOKUP($A$96,Ταρίφες!$A$6:$G$23,$K$7,FALSE)*(1+$F$3)^(B103-1)</f>
        <v>50942.497622530478</v>
      </c>
      <c r="F103" s="46">
        <f t="shared" si="53"/>
        <v>-2297.3713352985596</v>
      </c>
      <c r="G103" s="47">
        <f t="shared" si="54"/>
        <v>-918.94853411942381</v>
      </c>
      <c r="H103" s="47">
        <f t="shared" si="55"/>
        <v>-3216.3198694179837</v>
      </c>
      <c r="I103" s="46">
        <f t="shared" si="56"/>
        <v>-5169.0855044217587</v>
      </c>
      <c r="J103" s="47">
        <f t="shared" si="58"/>
        <v>-11600</v>
      </c>
      <c r="K103" s="47">
        <f t="shared" si="59"/>
        <v>-10244.600074698874</v>
      </c>
      <c r="L103" s="47">
        <f t="shared" si="60"/>
        <v>-7212.6008186109157</v>
      </c>
      <c r="M103" s="47">
        <f t="shared" si="61"/>
        <v>40757.707904912182</v>
      </c>
      <c r="N103" s="47">
        <f t="shared" si="62"/>
        <v>32128.171560661831</v>
      </c>
      <c r="O103" s="34"/>
      <c r="P103" s="35"/>
      <c r="Q103" s="35"/>
      <c r="R103" s="33"/>
      <c r="S103" s="43"/>
      <c r="T103" s="19"/>
      <c r="U103" s="27">
        <f t="shared" si="63"/>
        <v>40757.707904912182</v>
      </c>
      <c r="V103" s="28">
        <f t="shared" si="63"/>
        <v>32128.171560661831</v>
      </c>
      <c r="W103" s="43"/>
      <c r="X103" s="19"/>
      <c r="Y103" s="42">
        <f t="shared" si="51"/>
        <v>0</v>
      </c>
      <c r="Z103" s="42">
        <f t="shared" si="51"/>
        <v>0</v>
      </c>
    </row>
    <row r="104" spans="1:26" hidden="1" outlineLevel="1" x14ac:dyDescent="0.25">
      <c r="A104" s="18"/>
      <c r="B104" s="38">
        <f t="shared" si="64"/>
        <v>9</v>
      </c>
      <c r="C104" s="54">
        <f t="shared" si="57"/>
        <v>121.52547625615703</v>
      </c>
      <c r="D104" s="33">
        <f>C104*VLOOKUP($A$96,Ταρίφες!$A$6:$G$23,$K$6,FALSE)*(1+$F$3)^(B104-1)</f>
        <v>61977.992890640089</v>
      </c>
      <c r="E104" s="33">
        <f>C104*VLOOKUP($A$96,Ταρίφες!$A$6:$G$23,$K$7,FALSE)*(1+$F$3)^(B104-1)</f>
        <v>50433.072646305169</v>
      </c>
      <c r="F104" s="46">
        <f t="shared" si="53"/>
        <v>-2343.318762004531</v>
      </c>
      <c r="G104" s="47">
        <f t="shared" si="54"/>
        <v>-937.32750480181244</v>
      </c>
      <c r="H104" s="47">
        <f t="shared" si="55"/>
        <v>-3280.6462668063436</v>
      </c>
      <c r="I104" s="46">
        <f t="shared" si="56"/>
        <v>-5272.4672145101949</v>
      </c>
      <c r="J104" s="47">
        <f t="shared" si="58"/>
        <v>-11600</v>
      </c>
      <c r="K104" s="47">
        <f t="shared" si="59"/>
        <v>-10021.500617054475</v>
      </c>
      <c r="L104" s="47">
        <f t="shared" si="60"/>
        <v>-7019.8213535273953</v>
      </c>
      <c r="M104" s="47">
        <f t="shared" si="61"/>
        <v>40122.732525462736</v>
      </c>
      <c r="N104" s="47">
        <f t="shared" si="62"/>
        <v>31579.491544654891</v>
      </c>
      <c r="O104" s="34"/>
      <c r="P104" s="35"/>
      <c r="Q104" s="35"/>
      <c r="R104" s="33"/>
      <c r="S104" s="43"/>
      <c r="T104" s="19"/>
      <c r="U104" s="27">
        <f t="shared" si="63"/>
        <v>40122.732525462736</v>
      </c>
      <c r="V104" s="28">
        <f t="shared" si="63"/>
        <v>31579.491544654891</v>
      </c>
      <c r="W104" s="43"/>
      <c r="X104" s="19"/>
      <c r="Y104" s="42">
        <f t="shared" si="51"/>
        <v>0</v>
      </c>
      <c r="Z104" s="42">
        <f t="shared" si="51"/>
        <v>0</v>
      </c>
    </row>
    <row r="105" spans="1:26" hidden="1" outlineLevel="1" x14ac:dyDescent="0.25">
      <c r="A105" s="18"/>
      <c r="B105" s="38">
        <f t="shared" si="64"/>
        <v>10</v>
      </c>
      <c r="C105" s="54">
        <f t="shared" si="57"/>
        <v>120.31022149359546</v>
      </c>
      <c r="D105" s="33">
        <f>C105*VLOOKUP($A$96,Ταρίφες!$A$6:$G$23,$K$6,FALSE)*(1+$F$3)^(B105-1)</f>
        <v>61358.212961733683</v>
      </c>
      <c r="E105" s="33">
        <f>C105*VLOOKUP($A$96,Ταρίφες!$A$6:$G$23,$K$7,FALSE)*(1+$F$3)^(B105-1)</f>
        <v>49928.741919842119</v>
      </c>
      <c r="F105" s="46">
        <f t="shared" si="53"/>
        <v>-2390.1851372446217</v>
      </c>
      <c r="G105" s="47">
        <f t="shared" si="54"/>
        <v>-956.07405489784867</v>
      </c>
      <c r="H105" s="47">
        <f t="shared" si="55"/>
        <v>-3346.2591921424705</v>
      </c>
      <c r="I105" s="46">
        <f t="shared" si="56"/>
        <v>-5377.9165588003989</v>
      </c>
      <c r="J105" s="47">
        <f t="shared" si="58"/>
        <v>-11600</v>
      </c>
      <c r="K105" s="47">
        <f t="shared" si="59"/>
        <v>-9798.8222848485693</v>
      </c>
      <c r="L105" s="47">
        <f t="shared" si="60"/>
        <v>-6827.1598139567632</v>
      </c>
      <c r="M105" s="47">
        <f t="shared" si="61"/>
        <v>39488.955733799776</v>
      </c>
      <c r="N105" s="47">
        <f t="shared" si="62"/>
        <v>31031.147162800014</v>
      </c>
      <c r="O105" s="34"/>
      <c r="P105" s="35"/>
      <c r="Q105" s="35"/>
      <c r="R105" s="33"/>
      <c r="S105" s="43"/>
      <c r="T105" s="19"/>
      <c r="U105" s="27">
        <f t="shared" si="63"/>
        <v>39488.955733799776</v>
      </c>
      <c r="V105" s="28">
        <f t="shared" si="63"/>
        <v>31031.147162800014</v>
      </c>
      <c r="W105" s="43"/>
      <c r="X105" s="19"/>
      <c r="Y105" s="42">
        <f t="shared" si="51"/>
        <v>0</v>
      </c>
      <c r="Z105" s="42">
        <f t="shared" si="51"/>
        <v>0</v>
      </c>
    </row>
    <row r="106" spans="1:26" hidden="1" outlineLevel="1" x14ac:dyDescent="0.25">
      <c r="A106" s="18"/>
      <c r="B106" s="38">
        <f t="shared" si="64"/>
        <v>11</v>
      </c>
      <c r="C106" s="54">
        <f t="shared" si="57"/>
        <v>119.10711927865951</v>
      </c>
      <c r="D106" s="33">
        <f>C106*VLOOKUP($A$96,Ταρίφες!$A$6:$G$23,$K$6,FALSE)*(1+$F$3)^(B106-1)</f>
        <v>60744.630832116352</v>
      </c>
      <c r="E106" s="33">
        <f>C106*VLOOKUP($A$96,Ταρίφες!$A$6:$G$23,$K$7,FALSE)*(1+$F$3)^(B106-1)</f>
        <v>49429.454500643697</v>
      </c>
      <c r="F106" s="46">
        <f t="shared" si="53"/>
        <v>-2437.9888399895144</v>
      </c>
      <c r="G106" s="47">
        <f t="shared" si="54"/>
        <v>-975.1955359958057</v>
      </c>
      <c r="H106" s="47">
        <f t="shared" si="55"/>
        <v>-3413.18437598532</v>
      </c>
      <c r="I106" s="46">
        <f t="shared" si="56"/>
        <v>-5485.4748899764072</v>
      </c>
      <c r="J106" s="47">
        <f t="shared" si="58"/>
        <v>-11600</v>
      </c>
      <c r="K106" s="47">
        <f t="shared" si="59"/>
        <v>-9576.5246694440193</v>
      </c>
      <c r="L106" s="47">
        <f t="shared" si="60"/>
        <v>-6634.5788232611294</v>
      </c>
      <c r="M106" s="47">
        <f t="shared" si="61"/>
        <v>38856.262520725286</v>
      </c>
      <c r="N106" s="47">
        <f t="shared" si="62"/>
        <v>30483.032035435521</v>
      </c>
      <c r="O106" s="34"/>
      <c r="P106" s="35"/>
      <c r="Q106" s="35"/>
      <c r="R106" s="33"/>
      <c r="S106" s="43"/>
      <c r="T106" s="19"/>
      <c r="U106" s="27">
        <f t="shared" si="63"/>
        <v>38856.262520725286</v>
      </c>
      <c r="V106" s="28">
        <f t="shared" si="63"/>
        <v>30483.032035435521</v>
      </c>
      <c r="W106" s="43"/>
      <c r="X106" s="19"/>
      <c r="Y106" s="42">
        <f t="shared" si="51"/>
        <v>0</v>
      </c>
      <c r="Z106" s="42">
        <f t="shared" si="51"/>
        <v>0</v>
      </c>
    </row>
    <row r="107" spans="1:26" hidden="1" outlineLevel="1" x14ac:dyDescent="0.25">
      <c r="A107" s="18"/>
      <c r="B107" s="38">
        <f t="shared" si="64"/>
        <v>12</v>
      </c>
      <c r="C107" s="54">
        <f t="shared" si="57"/>
        <v>117.91604808587292</v>
      </c>
      <c r="D107" s="33">
        <f>C107*VLOOKUP($A$96,Ταρίφες!$A$6:$G$23,$K$6,FALSE)*(1+$F$3)^(B107-1)</f>
        <v>60137.184523795186</v>
      </c>
      <c r="E107" s="33">
        <f>C107*VLOOKUP($A$96,Ταρίφες!$A$6:$G$23,$K$7,FALSE)*(1+$F$3)^(B107-1)</f>
        <v>48935.15995563726</v>
      </c>
      <c r="F107" s="46">
        <f t="shared" si="53"/>
        <v>-2486.7486167893039</v>
      </c>
      <c r="G107" s="47">
        <f t="shared" si="54"/>
        <v>-994.69944671572159</v>
      </c>
      <c r="H107" s="47">
        <f t="shared" si="55"/>
        <v>-3481.4480635050259</v>
      </c>
      <c r="I107" s="46">
        <f t="shared" si="56"/>
        <v>-5595.1843877759338</v>
      </c>
      <c r="J107" s="47">
        <f t="shared" si="58"/>
        <v>-11600</v>
      </c>
      <c r="K107" s="47">
        <f t="shared" si="59"/>
        <v>-9354.5670423423926</v>
      </c>
      <c r="L107" s="47">
        <f t="shared" si="60"/>
        <v>-6442.0406546213317</v>
      </c>
      <c r="M107" s="47">
        <f t="shared" si="61"/>
        <v>38224.536966666805</v>
      </c>
      <c r="N107" s="47">
        <f t="shared" si="62"/>
        <v>29935.038786229943</v>
      </c>
      <c r="O107" s="34"/>
      <c r="P107" s="35"/>
      <c r="Q107" s="35"/>
      <c r="R107" s="33"/>
      <c r="S107" s="43"/>
      <c r="T107" s="19"/>
      <c r="U107" s="27">
        <f t="shared" si="63"/>
        <v>38224.536966666805</v>
      </c>
      <c r="V107" s="28">
        <f t="shared" si="63"/>
        <v>29935.038786229943</v>
      </c>
      <c r="W107" s="43"/>
      <c r="X107" s="19"/>
      <c r="Y107" s="42">
        <f t="shared" si="51"/>
        <v>0</v>
      </c>
      <c r="Z107" s="42">
        <f t="shared" si="51"/>
        <v>0</v>
      </c>
    </row>
    <row r="108" spans="1:26" hidden="1" outlineLevel="1" x14ac:dyDescent="0.25">
      <c r="A108" s="18"/>
      <c r="B108" s="38">
        <f t="shared" si="64"/>
        <v>13</v>
      </c>
      <c r="C108" s="54">
        <f t="shared" si="57"/>
        <v>116.73688760501419</v>
      </c>
      <c r="D108" s="33">
        <f>C108*VLOOKUP($A$96,Ταρίφες!$A$6:$G$23,$K$6,FALSE)*(1+$F$3)^(B108-1)</f>
        <v>59535.812678557239</v>
      </c>
      <c r="E108" s="33">
        <f>C108*VLOOKUP($A$96,Ταρίφες!$A$6:$G$23,$K$7,FALSE)*(1+$F$3)^(B108-1)</f>
        <v>48445.808356080888</v>
      </c>
      <c r="F108" s="46">
        <f t="shared" si="53"/>
        <v>-2536.4835891250905</v>
      </c>
      <c r="G108" s="47">
        <f t="shared" si="54"/>
        <v>-1014.5934356500362</v>
      </c>
      <c r="H108" s="47">
        <f t="shared" si="55"/>
        <v>-3551.0770247751266</v>
      </c>
      <c r="I108" s="46">
        <f t="shared" si="56"/>
        <v>-5707.0880755314538</v>
      </c>
      <c r="J108" s="47">
        <f t="shared" si="58"/>
        <v>-11600</v>
      </c>
      <c r="K108" s="47">
        <f t="shared" si="59"/>
        <v>-9132.9083439036385</v>
      </c>
      <c r="L108" s="47">
        <f t="shared" si="60"/>
        <v>-6249.5072200597879</v>
      </c>
      <c r="M108" s="47">
        <f t="shared" si="61"/>
        <v>37593.662209571892</v>
      </c>
      <c r="N108" s="47">
        <f t="shared" si="62"/>
        <v>29387.059010939396</v>
      </c>
      <c r="O108" s="34"/>
      <c r="P108" s="35"/>
      <c r="Q108" s="35"/>
      <c r="R108" s="33"/>
      <c r="S108" s="43"/>
      <c r="T108" s="19"/>
      <c r="U108" s="27">
        <f t="shared" si="63"/>
        <v>37593.662209571892</v>
      </c>
      <c r="V108" s="28">
        <f t="shared" si="63"/>
        <v>29387.059010939396</v>
      </c>
      <c r="W108" s="43"/>
      <c r="X108" s="19"/>
      <c r="Y108" s="42">
        <f t="shared" si="51"/>
        <v>0</v>
      </c>
      <c r="Z108" s="42">
        <f t="shared" si="51"/>
        <v>0</v>
      </c>
    </row>
    <row r="109" spans="1:26" hidden="1" outlineLevel="1" x14ac:dyDescent="0.25">
      <c r="A109" s="18"/>
      <c r="B109" s="38">
        <f t="shared" si="64"/>
        <v>14</v>
      </c>
      <c r="C109" s="54">
        <f t="shared" si="57"/>
        <v>115.56951872896404</v>
      </c>
      <c r="D109" s="33">
        <f>C109*VLOOKUP($A$96,Ταρίφες!$A$6:$G$23,$K$6,FALSE)*(1+$F$3)^(B109-1)</f>
        <v>58940.454551771661</v>
      </c>
      <c r="E109" s="33">
        <f>C109*VLOOKUP($A$96,Ταρίφες!$A$6:$G$23,$K$7,FALSE)*(1+$F$3)^(B109-1)</f>
        <v>47961.350272520074</v>
      </c>
      <c r="F109" s="46">
        <f t="shared" si="53"/>
        <v>-2587.213260907592</v>
      </c>
      <c r="G109" s="47">
        <f t="shared" si="54"/>
        <v>-1034.8853043630368</v>
      </c>
      <c r="H109" s="47">
        <f t="shared" si="55"/>
        <v>-3622.098565270629</v>
      </c>
      <c r="I109" s="46">
        <f t="shared" si="56"/>
        <v>-5821.2298370420822</v>
      </c>
      <c r="J109" s="47">
        <f t="shared" si="58"/>
        <v>-11600</v>
      </c>
      <c r="K109" s="47">
        <f t="shared" si="59"/>
        <v>-8911.5071718889649</v>
      </c>
      <c r="L109" s="47">
        <f t="shared" si="60"/>
        <v>-6056.9400592835518</v>
      </c>
      <c r="M109" s="47">
        <f t="shared" si="61"/>
        <v>36963.52041229936</v>
      </c>
      <c r="N109" s="47">
        <f t="shared" si="62"/>
        <v>28838.98324565318</v>
      </c>
      <c r="O109" s="34"/>
      <c r="P109" s="35"/>
      <c r="Q109" s="35"/>
      <c r="R109" s="33"/>
      <c r="S109" s="43"/>
      <c r="T109" s="19"/>
      <c r="U109" s="27">
        <f t="shared" si="63"/>
        <v>36963.52041229936</v>
      </c>
      <c r="V109" s="28">
        <f t="shared" si="63"/>
        <v>28838.98324565318</v>
      </c>
      <c r="W109" s="43"/>
      <c r="X109" s="19"/>
      <c r="Y109" s="42">
        <f t="shared" si="51"/>
        <v>0</v>
      </c>
      <c r="Z109" s="42">
        <f t="shared" si="51"/>
        <v>0</v>
      </c>
    </row>
    <row r="110" spans="1:26" hidden="1" outlineLevel="1" x14ac:dyDescent="0.25">
      <c r="A110" s="18"/>
      <c r="B110" s="38">
        <f t="shared" si="64"/>
        <v>15</v>
      </c>
      <c r="C110" s="54">
        <f t="shared" si="57"/>
        <v>114.4138235416744</v>
      </c>
      <c r="D110" s="33">
        <f>C110*VLOOKUP($A$96,Ταρίφες!$A$6:$G$23,$K$6,FALSE)*(1+$F$3)^(B110-1)</f>
        <v>58351.050006253943</v>
      </c>
      <c r="E110" s="33">
        <f>C110*VLOOKUP($A$96,Ταρίφες!$A$6:$G$23,$K$7,FALSE)*(1+$F$3)^(B110-1)</f>
        <v>47481.736769794879</v>
      </c>
      <c r="F110" s="46">
        <f t="shared" si="53"/>
        <v>-2638.9575261257442</v>
      </c>
      <c r="G110" s="47">
        <f t="shared" si="54"/>
        <v>-1055.5830104502977</v>
      </c>
      <c r="H110" s="47">
        <f t="shared" si="55"/>
        <v>-3694.5405365760421</v>
      </c>
      <c r="I110" s="46">
        <f t="shared" si="56"/>
        <v>-5937.6544337829246</v>
      </c>
      <c r="J110" s="47">
        <f t="shared" si="58"/>
        <v>-11600</v>
      </c>
      <c r="K110" s="47">
        <f t="shared" si="59"/>
        <v>-8690.3217698229237</v>
      </c>
      <c r="L110" s="47">
        <f t="shared" si="60"/>
        <v>-5864.3003283435664</v>
      </c>
      <c r="M110" s="47">
        <f t="shared" si="61"/>
        <v>36333.992729496007</v>
      </c>
      <c r="N110" s="47">
        <f t="shared" si="62"/>
        <v>28290.700934516302</v>
      </c>
      <c r="O110" s="34"/>
      <c r="P110" s="35"/>
      <c r="Q110" s="35"/>
      <c r="R110" s="33"/>
      <c r="S110" s="43"/>
      <c r="T110" s="19"/>
      <c r="U110" s="27">
        <f t="shared" si="63"/>
        <v>36333.992729496007</v>
      </c>
      <c r="V110" s="28">
        <f t="shared" si="63"/>
        <v>28290.700934516302</v>
      </c>
      <c r="W110" s="43"/>
      <c r="X110" s="19"/>
      <c r="Y110" s="42">
        <f t="shared" si="51"/>
        <v>0</v>
      </c>
      <c r="Z110" s="42">
        <f t="shared" si="51"/>
        <v>0</v>
      </c>
    </row>
    <row r="111" spans="1:26" hidden="1" outlineLevel="1" x14ac:dyDescent="0.25">
      <c r="A111" s="18"/>
      <c r="B111" s="38">
        <f t="shared" si="64"/>
        <v>16</v>
      </c>
      <c r="C111" s="54">
        <f t="shared" si="57"/>
        <v>113.26968530625766</v>
      </c>
      <c r="D111" s="33">
        <f>C111*VLOOKUP($A$96,Ταρίφες!$A$6:$G$23,$K$6,FALSE)*(1+$F$3)^(B111-1)</f>
        <v>57767.539506191402</v>
      </c>
      <c r="E111" s="33">
        <f>C111*VLOOKUP($A$96,Ταρίφες!$A$6:$G$23,$K$7,FALSE)*(1+$F$3)^(B111-1)</f>
        <v>47006.91940209693</v>
      </c>
      <c r="F111" s="46">
        <f t="shared" si="53"/>
        <v>-2691.7366766482583</v>
      </c>
      <c r="G111" s="47">
        <f t="shared" si="54"/>
        <v>-1076.6946706593035</v>
      </c>
      <c r="H111" s="47">
        <f t="shared" si="55"/>
        <v>-3768.4313473075617</v>
      </c>
      <c r="I111" s="46">
        <f t="shared" si="56"/>
        <v>-6056.4075224585813</v>
      </c>
      <c r="J111" s="47">
        <f t="shared" si="58"/>
        <v>-11600</v>
      </c>
      <c r="K111" s="47">
        <f t="shared" si="59"/>
        <v>-8469.3100151706021</v>
      </c>
      <c r="L111" s="47">
        <f t="shared" si="60"/>
        <v>-5671.548788106039</v>
      </c>
      <c r="M111" s="47">
        <f t="shared" si="61"/>
        <v>35704.959273947097</v>
      </c>
      <c r="N111" s="47">
        <f t="shared" si="62"/>
        <v>27742.100396917187</v>
      </c>
      <c r="O111" s="34"/>
      <c r="P111" s="35"/>
      <c r="Q111" s="35"/>
      <c r="R111" s="33"/>
      <c r="S111" s="43"/>
      <c r="T111" s="19"/>
      <c r="U111" s="27">
        <f t="shared" si="63"/>
        <v>35704.959273947097</v>
      </c>
      <c r="V111" s="28">
        <f t="shared" si="63"/>
        <v>27742.100396917187</v>
      </c>
      <c r="W111" s="43"/>
      <c r="X111" s="19"/>
      <c r="Y111" s="42">
        <f t="shared" si="51"/>
        <v>0</v>
      </c>
      <c r="Z111" s="42">
        <f t="shared" si="51"/>
        <v>0</v>
      </c>
    </row>
    <row r="112" spans="1:26" hidden="1" outlineLevel="1" x14ac:dyDescent="0.25">
      <c r="A112" s="18"/>
      <c r="B112" s="38">
        <f t="shared" si="64"/>
        <v>17</v>
      </c>
      <c r="C112" s="54">
        <f t="shared" si="57"/>
        <v>112.13698845319507</v>
      </c>
      <c r="D112" s="33">
        <f>C112*VLOOKUP($A$96,Ταρίφες!$A$6:$G$23,$K$6,FALSE)*(1+$F$3)^(B112-1)</f>
        <v>57189.864111129486</v>
      </c>
      <c r="E112" s="33">
        <f>C112*VLOOKUP($A$96,Ταρίφες!$A$6:$G$23,$K$7,FALSE)*(1+$F$3)^(B112-1)</f>
        <v>46536.850208075957</v>
      </c>
      <c r="F112" s="46">
        <f t="shared" si="53"/>
        <v>-2745.5714101812241</v>
      </c>
      <c r="G112" s="47">
        <f t="shared" si="54"/>
        <v>-1098.2285640724897</v>
      </c>
      <c r="H112" s="47">
        <f t="shared" si="55"/>
        <v>-3843.7999742537136</v>
      </c>
      <c r="I112" s="46">
        <f t="shared" si="56"/>
        <v>-6177.5356729077539</v>
      </c>
      <c r="J112" s="47">
        <f t="shared" si="58"/>
        <v>-11600</v>
      </c>
      <c r="K112" s="47">
        <f t="shared" si="59"/>
        <v>-8248.4294073257188</v>
      </c>
      <c r="L112" s="47">
        <f t="shared" si="60"/>
        <v>-5478.6457925318018</v>
      </c>
      <c r="M112" s="47">
        <f t="shared" si="61"/>
        <v>35076.299082388585</v>
      </c>
      <c r="N112" s="47">
        <f t="shared" si="62"/>
        <v>27193.068794128973</v>
      </c>
      <c r="O112" s="34"/>
      <c r="P112" s="35"/>
      <c r="Q112" s="35"/>
      <c r="R112" s="33"/>
      <c r="S112" s="43"/>
      <c r="T112" s="19"/>
      <c r="U112" s="27">
        <f t="shared" si="63"/>
        <v>35076.299082388585</v>
      </c>
      <c r="V112" s="28">
        <f t="shared" si="63"/>
        <v>27193.068794128973</v>
      </c>
      <c r="W112" s="43"/>
      <c r="X112" s="19"/>
      <c r="Y112" s="42">
        <f t="shared" si="51"/>
        <v>0</v>
      </c>
      <c r="Z112" s="42">
        <f t="shared" si="51"/>
        <v>0</v>
      </c>
    </row>
    <row r="113" spans="1:26" hidden="1" outlineLevel="1" x14ac:dyDescent="0.25">
      <c r="A113" s="18"/>
      <c r="B113" s="38">
        <f t="shared" si="64"/>
        <v>18</v>
      </c>
      <c r="C113" s="54">
        <f t="shared" si="57"/>
        <v>111.01561856866311</v>
      </c>
      <c r="D113" s="33">
        <f>C113*VLOOKUP($A$96,Ταρίφες!$A$6:$G$23,$K$6,FALSE)*(1+$F$3)^(B113-1)</f>
        <v>56617.965470018185</v>
      </c>
      <c r="E113" s="33">
        <f>C113*VLOOKUP($A$96,Ταρίφες!$A$6:$G$23,$K$7,FALSE)*(1+$F$3)^(B113-1)</f>
        <v>46071.481705995189</v>
      </c>
      <c r="F113" s="46">
        <f t="shared" si="53"/>
        <v>-2800.4828383848489</v>
      </c>
      <c r="G113" s="47">
        <f t="shared" si="54"/>
        <v>-1120.1931353539396</v>
      </c>
      <c r="H113" s="47">
        <f t="shared" si="55"/>
        <v>-3920.6759737387883</v>
      </c>
      <c r="I113" s="46">
        <f t="shared" si="56"/>
        <v>-6301.0863863659097</v>
      </c>
      <c r="J113" s="47">
        <f t="shared" si="58"/>
        <v>-11600</v>
      </c>
      <c r="K113" s="47">
        <f t="shared" si="59"/>
        <v>-8027.637055405422</v>
      </c>
      <c r="L113" s="47">
        <f t="shared" si="60"/>
        <v>-5285.5512767594428</v>
      </c>
      <c r="M113" s="47">
        <f t="shared" si="61"/>
        <v>34447.890080769277</v>
      </c>
      <c r="N113" s="47">
        <f t="shared" si="62"/>
        <v>26643.492095392263</v>
      </c>
      <c r="O113" s="34"/>
      <c r="P113" s="35"/>
      <c r="Q113" s="35"/>
      <c r="R113" s="33"/>
      <c r="S113" s="43"/>
      <c r="T113" s="19"/>
      <c r="U113" s="27">
        <f t="shared" si="63"/>
        <v>34447.890080769277</v>
      </c>
      <c r="V113" s="28">
        <f t="shared" si="63"/>
        <v>26643.492095392263</v>
      </c>
      <c r="W113" s="43"/>
      <c r="X113" s="19"/>
      <c r="Y113" s="42">
        <f t="shared" si="51"/>
        <v>0</v>
      </c>
      <c r="Z113" s="42">
        <f t="shared" si="51"/>
        <v>0</v>
      </c>
    </row>
    <row r="114" spans="1:26" hidden="1" outlineLevel="1" x14ac:dyDescent="0.25">
      <c r="A114" s="18"/>
      <c r="B114" s="38">
        <f t="shared" si="64"/>
        <v>19</v>
      </c>
      <c r="C114" s="54">
        <f t="shared" si="57"/>
        <v>109.90546238297648</v>
      </c>
      <c r="D114" s="33">
        <f>C114*VLOOKUP($A$96,Ταρίφες!$A$6:$G$23,$K$6,FALSE)*(1+$F$3)^(B114-1)</f>
        <v>56051.785815318006</v>
      </c>
      <c r="E114" s="33">
        <f>C114*VLOOKUP($A$96,Ταρίφες!$A$6:$G$23,$K$7,FALSE)*(1+$F$3)^(B114-1)</f>
        <v>45610.766888935243</v>
      </c>
      <c r="F114" s="46">
        <f t="shared" si="53"/>
        <v>-2856.4924951525454</v>
      </c>
      <c r="G114" s="47">
        <f t="shared" si="54"/>
        <v>-1142.5969980610182</v>
      </c>
      <c r="H114" s="47">
        <f t="shared" si="55"/>
        <v>-3999.0894932135634</v>
      </c>
      <c r="I114" s="46">
        <f t="shared" si="56"/>
        <v>-6427.1081140932274</v>
      </c>
      <c r="J114" s="47">
        <f t="shared" si="58"/>
        <v>-11600</v>
      </c>
      <c r="K114" s="47">
        <f t="shared" si="59"/>
        <v>-7806.8896658473896</v>
      </c>
      <c r="L114" s="47">
        <f t="shared" si="60"/>
        <v>-5092.2247449878705</v>
      </c>
      <c r="M114" s="47">
        <f t="shared" si="61"/>
        <v>33819.60904895026</v>
      </c>
      <c r="N114" s="47">
        <f t="shared" si="62"/>
        <v>26093.255043427016</v>
      </c>
      <c r="O114" s="34"/>
      <c r="P114" s="35"/>
      <c r="Q114" s="35"/>
      <c r="R114" s="33"/>
      <c r="S114" s="43"/>
      <c r="T114" s="19"/>
      <c r="U114" s="27">
        <f t="shared" si="63"/>
        <v>33819.60904895026</v>
      </c>
      <c r="V114" s="28">
        <f t="shared" si="63"/>
        <v>26093.255043427016</v>
      </c>
      <c r="W114" s="43"/>
      <c r="X114" s="19"/>
      <c r="Y114" s="42">
        <f t="shared" si="51"/>
        <v>0</v>
      </c>
      <c r="Z114" s="42">
        <f t="shared" si="51"/>
        <v>0</v>
      </c>
    </row>
    <row r="115" spans="1:26" hidden="1" outlineLevel="1" x14ac:dyDescent="0.25">
      <c r="A115" s="18"/>
      <c r="B115" s="38">
        <f>B114+1</f>
        <v>20</v>
      </c>
      <c r="C115" s="54">
        <f>C114*(1-$F$2)</f>
        <v>108.80640775914671</v>
      </c>
      <c r="D115" s="33">
        <f>C115*VLOOKUP($A$96,Ταρίφες!$A$6:$G$23,$K$6,FALSE)*(1+$F$3)^(B115-1)</f>
        <v>55491.267957164819</v>
      </c>
      <c r="E115" s="33">
        <f>C115*VLOOKUP($A$96,Ταρίφες!$A$6:$G$23,$K$7,FALSE)*(1+$F$3)^(B115-1)</f>
        <v>45154.659220045884</v>
      </c>
      <c r="F115" s="46">
        <f t="shared" si="53"/>
        <v>-2913.6223450555963</v>
      </c>
      <c r="G115" s="47">
        <f t="shared" si="54"/>
        <v>-1165.4489380222385</v>
      </c>
      <c r="H115" s="47">
        <f>-$K$4*(1+$F$4)^(B115-$B$12)</f>
        <v>-4079.0712830778348</v>
      </c>
      <c r="I115" s="46">
        <f>-(4500*(1+$F$4)^(B115-$B$12))</f>
        <v>-6555.6502763750914</v>
      </c>
      <c r="J115" s="47">
        <f t="shared" si="58"/>
        <v>-11600</v>
      </c>
      <c r="K115" s="47">
        <f>-(D115+SUM(F115:J115))*$F$5</f>
        <v>-7586.1435298048555</v>
      </c>
      <c r="L115" s="47">
        <f>-(E115+SUM(F115:J115))*$F$5</f>
        <v>-4898.625258153932</v>
      </c>
      <c r="M115" s="47">
        <f>D115+SUM(F115:I115)+K115</f>
        <v>33191.331584829204</v>
      </c>
      <c r="N115" s="47">
        <f>E115+SUM(F115:I115)+L115</f>
        <v>25542.241119361192</v>
      </c>
      <c r="O115" s="34"/>
      <c r="P115" s="35"/>
      <c r="Q115" s="35"/>
      <c r="R115" s="33"/>
      <c r="S115" s="43"/>
      <c r="T115" s="19"/>
      <c r="U115" s="27">
        <f>M115</f>
        <v>33191.331584829204</v>
      </c>
      <c r="V115" s="28">
        <f>N115</f>
        <v>25542.241119361192</v>
      </c>
      <c r="W115" s="43"/>
      <c r="X115" s="19"/>
      <c r="Y115" s="42">
        <f t="shared" si="51"/>
        <v>0</v>
      </c>
      <c r="Z115" s="42">
        <f t="shared" si="51"/>
        <v>0</v>
      </c>
    </row>
    <row r="116" spans="1:26" s="40" customFormat="1" hidden="1" outlineLevel="1" x14ac:dyDescent="0.25">
      <c r="O116" s="17"/>
      <c r="P116" s="25"/>
      <c r="Q116" s="25"/>
      <c r="R116" s="22"/>
      <c r="S116" s="52"/>
      <c r="T116" s="44"/>
      <c r="U116" s="74">
        <f>O117</f>
        <v>-262000</v>
      </c>
      <c r="V116" s="74">
        <f>R117</f>
        <v>-189637.77160644531</v>
      </c>
      <c r="W116" s="52"/>
      <c r="X116" s="44"/>
      <c r="Y116" s="42">
        <f t="shared" si="51"/>
        <v>0</v>
      </c>
      <c r="Z116" s="42">
        <f t="shared" si="51"/>
        <v>0</v>
      </c>
    </row>
    <row r="117" spans="1:26" collapsed="1" x14ac:dyDescent="0.25">
      <c r="A117" s="32" t="str">
        <f>Ταρίφες!A15</f>
        <v>Β Τριμ. 2011</v>
      </c>
      <c r="B117" s="38">
        <f>1</f>
        <v>1</v>
      </c>
      <c r="C117" s="54">
        <f>$F$8*$K$2/1000</f>
        <v>131.69999999999999</v>
      </c>
      <c r="D117" s="33">
        <f>C117*VLOOKUP($A$117,Ταρίφες!$A$6:$G$23,$K$6,FALSE)*(1+$F$3)^(B117-1)</f>
        <v>67167</v>
      </c>
      <c r="E117" s="33">
        <f>C117*VLOOKUP($A$117,Ταρίφες!$A$6:$G$23,$K$7,FALSE)*(1+$F$3)^(B117-1)</f>
        <v>52679.999999999993</v>
      </c>
      <c r="F117" s="46">
        <f t="shared" ref="F117:F136" si="65">-($K$5*(1+$F$4)^(B117-$B$12))</f>
        <v>-2000</v>
      </c>
      <c r="G117" s="47">
        <f t="shared" ref="G117:G136" si="66">-$K$2*10*(1+$F$4)^(B117-$B$12)</f>
        <v>-800</v>
      </c>
      <c r="H117" s="47">
        <f t="shared" ref="H117:H135" si="67">-$K$4*(1+$F$4)^(B117-$B$12)</f>
        <v>-2800</v>
      </c>
      <c r="I117" s="46">
        <f t="shared" ref="I117:I135" si="68">-(4500*(1+$F$4)^(B117-$B$12))</f>
        <v>-4500</v>
      </c>
      <c r="J117" s="47">
        <f>$O$117*4%</f>
        <v>-10480</v>
      </c>
      <c r="K117" s="47">
        <f>-(D117+SUM(F117:J117))*$F$5</f>
        <v>-12112.62</v>
      </c>
      <c r="L117" s="47">
        <f>-(E117+SUM(F117:J117))*$F$5</f>
        <v>-8345.9999999999982</v>
      </c>
      <c r="M117" s="47">
        <f>D117+SUM(F117:I117)+K117</f>
        <v>44954.38</v>
      </c>
      <c r="N117" s="47">
        <f>E117+SUM(F117:I117)+L117</f>
        <v>34233.999999999993</v>
      </c>
      <c r="O117" s="35">
        <f>-VLOOKUP(A117,'Κόστος Κατασκευής'!$A$4:$Q$17,$K$8,FALSE)</f>
        <v>-262000</v>
      </c>
      <c r="P117" s="36">
        <f>$K$3</f>
        <v>96000</v>
      </c>
      <c r="Q117" s="36">
        <f>Q96*15/16</f>
        <v>-23637.771606445316</v>
      </c>
      <c r="R117" s="37">
        <f>SUM(O117:Q117)</f>
        <v>-189637.77160644531</v>
      </c>
      <c r="S117" s="42">
        <f>IRR(U116:U136)</f>
        <v>0.14846842119538395</v>
      </c>
      <c r="T117" s="42">
        <f>IRR(V116:V136)</f>
        <v>0.15669758031494241</v>
      </c>
      <c r="U117" s="27">
        <f>M117</f>
        <v>44954.38</v>
      </c>
      <c r="V117" s="28">
        <f>N117</f>
        <v>34233.999999999993</v>
      </c>
      <c r="W117" s="42">
        <f>'IRR ΔΣ Ισχύον'!S117</f>
        <v>0.16300779455836678</v>
      </c>
      <c r="X117" s="42">
        <f>'IRR ΔΣ Ισχύον'!T117</f>
        <v>0.15227099716133141</v>
      </c>
      <c r="Y117" s="42">
        <f t="shared" si="51"/>
        <v>-1.4539373362982833E-2</v>
      </c>
      <c r="Z117" s="42">
        <f t="shared" si="51"/>
        <v>4.4265831536109967E-3</v>
      </c>
    </row>
    <row r="118" spans="1:26" hidden="1" outlineLevel="1" x14ac:dyDescent="0.25">
      <c r="A118" s="18"/>
      <c r="B118" s="38">
        <f>B117+1</f>
        <v>2</v>
      </c>
      <c r="C118" s="54">
        <f t="shared" ref="C118:C135" si="69">C117*(1-$F$2)</f>
        <v>130.38299999999998</v>
      </c>
      <c r="D118" s="33">
        <f>C118*VLOOKUP($A$117,Ταρίφες!$A$6:$G$23,$K$6,FALSE)*(1+$F$3)^(B118-1)</f>
        <v>66495.329999999987</v>
      </c>
      <c r="E118" s="33">
        <f>C118*VLOOKUP($A$117,Ταρίφες!$A$6:$G$23,$K$7,FALSE)*(1+$F$3)^(B118-1)</f>
        <v>52153.19999999999</v>
      </c>
      <c r="F118" s="46">
        <f t="shared" si="65"/>
        <v>-2040</v>
      </c>
      <c r="G118" s="47">
        <f t="shared" si="66"/>
        <v>-816</v>
      </c>
      <c r="H118" s="47">
        <f t="shared" si="67"/>
        <v>-2856</v>
      </c>
      <c r="I118" s="46">
        <f t="shared" si="68"/>
        <v>-4590</v>
      </c>
      <c r="J118" s="47">
        <f t="shared" ref="J118:J136" si="70">$O$117*4%</f>
        <v>-10480</v>
      </c>
      <c r="K118" s="47">
        <f t="shared" ref="K118:K135" si="71">-(D118+SUM(F118:J118))*$F$5</f>
        <v>-11885.465799999996</v>
      </c>
      <c r="L118" s="47">
        <f t="shared" ref="L118:L135" si="72">-(E118+SUM(F118:J118))*$F$5</f>
        <v>-8156.5119999999979</v>
      </c>
      <c r="M118" s="47">
        <f t="shared" ref="M118:M135" si="73">D118+SUM(F118:I118)+K118</f>
        <v>44307.864199999989</v>
      </c>
      <c r="N118" s="47">
        <f t="shared" ref="N118:N135" si="74">E118+SUM(F118:I118)+L118</f>
        <v>33694.687999999995</v>
      </c>
      <c r="O118" s="34"/>
      <c r="P118" s="35"/>
      <c r="Q118" s="35"/>
      <c r="R118" s="33"/>
      <c r="S118" s="43"/>
      <c r="T118" s="19"/>
      <c r="U118" s="27">
        <f t="shared" ref="U118:V135" si="75">M118</f>
        <v>44307.864199999989</v>
      </c>
      <c r="V118" s="28">
        <f t="shared" si="75"/>
        <v>33694.687999999995</v>
      </c>
      <c r="W118" s="43"/>
      <c r="X118" s="19"/>
      <c r="Y118" s="42">
        <f t="shared" si="51"/>
        <v>0</v>
      </c>
      <c r="Z118" s="42">
        <f t="shared" si="51"/>
        <v>0</v>
      </c>
    </row>
    <row r="119" spans="1:26" hidden="1" outlineLevel="1" x14ac:dyDescent="0.25">
      <c r="A119" s="18"/>
      <c r="B119" s="38">
        <f t="shared" ref="B119:B135" si="76">B118+1</f>
        <v>3</v>
      </c>
      <c r="C119" s="54">
        <f t="shared" si="69"/>
        <v>129.07916999999998</v>
      </c>
      <c r="D119" s="33">
        <f>C119*VLOOKUP($A$117,Ταρίφες!$A$6:$G$23,$K$6,FALSE)*(1+$F$3)^(B119-1)</f>
        <v>65830.376699999993</v>
      </c>
      <c r="E119" s="33">
        <f>C119*VLOOKUP($A$117,Ταρίφες!$A$6:$G$23,$K$7,FALSE)*(1+$F$3)^(B119-1)</f>
        <v>51631.667999999991</v>
      </c>
      <c r="F119" s="46">
        <f t="shared" si="65"/>
        <v>-2080.8000000000002</v>
      </c>
      <c r="G119" s="47">
        <f t="shared" si="66"/>
        <v>-832.31999999999994</v>
      </c>
      <c r="H119" s="47">
        <f t="shared" si="67"/>
        <v>-2913.12</v>
      </c>
      <c r="I119" s="46">
        <f t="shared" si="68"/>
        <v>-4681.8</v>
      </c>
      <c r="J119" s="47">
        <f t="shared" si="70"/>
        <v>-10480</v>
      </c>
      <c r="K119" s="47">
        <f t="shared" si="71"/>
        <v>-11659.007541999998</v>
      </c>
      <c r="L119" s="47">
        <f t="shared" si="72"/>
        <v>-7967.3432799999973</v>
      </c>
      <c r="M119" s="47">
        <f t="shared" si="73"/>
        <v>43663.329157999993</v>
      </c>
      <c r="N119" s="47">
        <f t="shared" si="74"/>
        <v>33156.284719999996</v>
      </c>
      <c r="O119" s="34"/>
      <c r="P119" s="35"/>
      <c r="Q119" s="35"/>
      <c r="R119" s="33"/>
      <c r="S119" s="43"/>
      <c r="T119" s="19"/>
      <c r="U119" s="27">
        <f t="shared" si="75"/>
        <v>43663.329157999993</v>
      </c>
      <c r="V119" s="28">
        <f t="shared" si="75"/>
        <v>33156.284719999996</v>
      </c>
      <c r="W119" s="43"/>
      <c r="X119" s="19"/>
      <c r="Y119" s="42">
        <f t="shared" si="51"/>
        <v>0</v>
      </c>
      <c r="Z119" s="42">
        <f t="shared" si="51"/>
        <v>0</v>
      </c>
    </row>
    <row r="120" spans="1:26" hidden="1" outlineLevel="1" x14ac:dyDescent="0.25">
      <c r="A120" s="18"/>
      <c r="B120" s="38">
        <f t="shared" si="76"/>
        <v>4</v>
      </c>
      <c r="C120" s="54">
        <f t="shared" si="69"/>
        <v>127.78837829999998</v>
      </c>
      <c r="D120" s="33">
        <f>C120*VLOOKUP($A$117,Ταρίφες!$A$6:$G$23,$K$6,FALSE)*(1+$F$3)^(B120-1)</f>
        <v>65172.072932999989</v>
      </c>
      <c r="E120" s="33">
        <f>C120*VLOOKUP($A$117,Ταρίφες!$A$6:$G$23,$K$7,FALSE)*(1+$F$3)^(B120-1)</f>
        <v>51115.351319999987</v>
      </c>
      <c r="F120" s="46">
        <f t="shared" si="65"/>
        <v>-2122.4159999999997</v>
      </c>
      <c r="G120" s="47">
        <f t="shared" si="66"/>
        <v>-848.96639999999991</v>
      </c>
      <c r="H120" s="47">
        <f t="shared" si="67"/>
        <v>-2971.3824</v>
      </c>
      <c r="I120" s="46">
        <f t="shared" si="68"/>
        <v>-4775.4359999999997</v>
      </c>
      <c r="J120" s="47">
        <f t="shared" si="70"/>
        <v>-10480</v>
      </c>
      <c r="K120" s="47">
        <f t="shared" si="71"/>
        <v>-11433.206754579998</v>
      </c>
      <c r="L120" s="47">
        <f t="shared" si="72"/>
        <v>-7778.459135199997</v>
      </c>
      <c r="M120" s="47">
        <f t="shared" si="73"/>
        <v>43020.665378419988</v>
      </c>
      <c r="N120" s="47">
        <f t="shared" si="74"/>
        <v>32618.691384799989</v>
      </c>
      <c r="O120" s="34"/>
      <c r="P120" s="35"/>
      <c r="Q120" s="35"/>
      <c r="R120" s="33"/>
      <c r="S120" s="43"/>
      <c r="T120" s="19"/>
      <c r="U120" s="27">
        <f t="shared" si="75"/>
        <v>43020.665378419988</v>
      </c>
      <c r="V120" s="28">
        <f t="shared" si="75"/>
        <v>32618.691384799989</v>
      </c>
      <c r="W120" s="43"/>
      <c r="X120" s="19"/>
      <c r="Y120" s="42">
        <f t="shared" si="51"/>
        <v>0</v>
      </c>
      <c r="Z120" s="42">
        <f t="shared" si="51"/>
        <v>0</v>
      </c>
    </row>
    <row r="121" spans="1:26" hidden="1" outlineLevel="1" x14ac:dyDescent="0.25">
      <c r="A121" s="18"/>
      <c r="B121" s="38">
        <f t="shared" si="76"/>
        <v>5</v>
      </c>
      <c r="C121" s="54">
        <f t="shared" si="69"/>
        <v>126.51049451699997</v>
      </c>
      <c r="D121" s="33">
        <f>C121*VLOOKUP($A$117,Ταρίφες!$A$6:$G$23,$K$6,FALSE)*(1+$F$3)^(B121-1)</f>
        <v>64520.352203669987</v>
      </c>
      <c r="E121" s="33">
        <f>C121*VLOOKUP($A$117,Ταρίφες!$A$6:$G$23,$K$7,FALSE)*(1+$F$3)^(B121-1)</f>
        <v>50604.197806799988</v>
      </c>
      <c r="F121" s="46">
        <f t="shared" si="65"/>
        <v>-2164.8643200000001</v>
      </c>
      <c r="G121" s="47">
        <f t="shared" si="66"/>
        <v>-865.94572800000003</v>
      </c>
      <c r="H121" s="47">
        <f t="shared" si="67"/>
        <v>-3030.8100479999998</v>
      </c>
      <c r="I121" s="46">
        <f t="shared" si="68"/>
        <v>-4870.9447199999995</v>
      </c>
      <c r="J121" s="47">
        <f t="shared" si="70"/>
        <v>-10480</v>
      </c>
      <c r="K121" s="47">
        <f t="shared" si="71"/>
        <v>-11208.024720794197</v>
      </c>
      <c r="L121" s="47">
        <f t="shared" si="72"/>
        <v>-7589.8245776079975</v>
      </c>
      <c r="M121" s="47">
        <f t="shared" si="73"/>
        <v>42379.762666875788</v>
      </c>
      <c r="N121" s="47">
        <f t="shared" si="74"/>
        <v>32081.808413191993</v>
      </c>
      <c r="O121" s="34"/>
      <c r="P121" s="35"/>
      <c r="Q121" s="35"/>
      <c r="R121" s="33"/>
      <c r="S121" s="43"/>
      <c r="T121" s="19"/>
      <c r="U121" s="27">
        <f t="shared" si="75"/>
        <v>42379.762666875788</v>
      </c>
      <c r="V121" s="28">
        <f t="shared" si="75"/>
        <v>32081.808413191993</v>
      </c>
      <c r="W121" s="43"/>
      <c r="X121" s="19"/>
      <c r="Y121" s="42">
        <f t="shared" si="51"/>
        <v>0</v>
      </c>
      <c r="Z121" s="42">
        <f t="shared" si="51"/>
        <v>0</v>
      </c>
    </row>
    <row r="122" spans="1:26" hidden="1" outlineLevel="1" x14ac:dyDescent="0.25">
      <c r="A122" s="18"/>
      <c r="B122" s="38">
        <f t="shared" si="76"/>
        <v>6</v>
      </c>
      <c r="C122" s="54">
        <f t="shared" si="69"/>
        <v>125.24538957182997</v>
      </c>
      <c r="D122" s="33">
        <f>C122*VLOOKUP($A$117,Ταρίφες!$A$6:$G$23,$K$6,FALSE)*(1+$F$3)^(B122-1)</f>
        <v>63875.148681633284</v>
      </c>
      <c r="E122" s="33">
        <f>C122*VLOOKUP($A$117,Ταρίφες!$A$6:$G$23,$K$7,FALSE)*(1+$F$3)^(B122-1)</f>
        <v>50098.155828731993</v>
      </c>
      <c r="F122" s="46">
        <f t="shared" si="65"/>
        <v>-2208.1616064</v>
      </c>
      <c r="G122" s="47">
        <f t="shared" si="66"/>
        <v>-883.26464255999997</v>
      </c>
      <c r="H122" s="47">
        <f t="shared" si="67"/>
        <v>-3091.4262489600001</v>
      </c>
      <c r="I122" s="46">
        <f t="shared" si="68"/>
        <v>-4968.3636144000002</v>
      </c>
      <c r="J122" s="47">
        <f t="shared" si="70"/>
        <v>-10480</v>
      </c>
      <c r="K122" s="47">
        <f t="shared" si="71"/>
        <v>-10983.422468021454</v>
      </c>
      <c r="L122" s="47">
        <f t="shared" si="72"/>
        <v>-7401.4043262671184</v>
      </c>
      <c r="M122" s="47">
        <f t="shared" si="73"/>
        <v>41740.510101291831</v>
      </c>
      <c r="N122" s="47">
        <f t="shared" si="74"/>
        <v>31545.535390144876</v>
      </c>
      <c r="O122" s="34"/>
      <c r="P122" s="35"/>
      <c r="Q122" s="35"/>
      <c r="R122" s="33"/>
      <c r="S122" s="43"/>
      <c r="T122" s="19"/>
      <c r="U122" s="27">
        <f t="shared" si="75"/>
        <v>41740.510101291831</v>
      </c>
      <c r="V122" s="28">
        <f t="shared" si="75"/>
        <v>31545.535390144876</v>
      </c>
      <c r="W122" s="43"/>
      <c r="X122" s="19"/>
      <c r="Y122" s="42">
        <f t="shared" si="51"/>
        <v>0</v>
      </c>
      <c r="Z122" s="42">
        <f t="shared" si="51"/>
        <v>0</v>
      </c>
    </row>
    <row r="123" spans="1:26" hidden="1" outlineLevel="1" x14ac:dyDescent="0.25">
      <c r="A123" s="18"/>
      <c r="B123" s="38">
        <f t="shared" si="76"/>
        <v>7</v>
      </c>
      <c r="C123" s="54">
        <f t="shared" si="69"/>
        <v>123.99293567611167</v>
      </c>
      <c r="D123" s="33">
        <f>C123*VLOOKUP($A$117,Ταρίφες!$A$6:$G$23,$K$6,FALSE)*(1+$F$3)^(B123-1)</f>
        <v>63236.397194816949</v>
      </c>
      <c r="E123" s="33">
        <f>C123*VLOOKUP($A$117,Ταρίφες!$A$6:$G$23,$K$7,FALSE)*(1+$F$3)^(B123-1)</f>
        <v>49597.174270444666</v>
      </c>
      <c r="F123" s="46">
        <f t="shared" si="65"/>
        <v>-2252.3248385280003</v>
      </c>
      <c r="G123" s="47">
        <f t="shared" si="66"/>
        <v>-900.92993541120006</v>
      </c>
      <c r="H123" s="47">
        <f t="shared" si="67"/>
        <v>-3153.2547739392003</v>
      </c>
      <c r="I123" s="46">
        <f t="shared" si="68"/>
        <v>-5067.7308866880003</v>
      </c>
      <c r="J123" s="47">
        <f t="shared" si="70"/>
        <v>-10480</v>
      </c>
      <c r="K123" s="47">
        <f t="shared" si="71"/>
        <v>-10759.360757665145</v>
      </c>
      <c r="L123" s="47">
        <f t="shared" si="72"/>
        <v>-7213.1627973283494</v>
      </c>
      <c r="M123" s="47">
        <f t="shared" si="73"/>
        <v>41102.796002585412</v>
      </c>
      <c r="N123" s="47">
        <f t="shared" si="74"/>
        <v>31009.771038549919</v>
      </c>
      <c r="O123" s="34"/>
      <c r="P123" s="35"/>
      <c r="Q123" s="35"/>
      <c r="R123" s="33"/>
      <c r="S123" s="43"/>
      <c r="T123" s="19"/>
      <c r="U123" s="27">
        <f t="shared" si="75"/>
        <v>41102.796002585412</v>
      </c>
      <c r="V123" s="28">
        <f t="shared" si="75"/>
        <v>31009.771038549919</v>
      </c>
      <c r="W123" s="43"/>
      <c r="X123" s="19"/>
      <c r="Y123" s="42">
        <f t="shared" si="51"/>
        <v>0</v>
      </c>
      <c r="Z123" s="42">
        <f t="shared" si="51"/>
        <v>0</v>
      </c>
    </row>
    <row r="124" spans="1:26" hidden="1" outlineLevel="1" x14ac:dyDescent="0.25">
      <c r="A124" s="18"/>
      <c r="B124" s="38">
        <f t="shared" si="76"/>
        <v>8</v>
      </c>
      <c r="C124" s="54">
        <f t="shared" si="69"/>
        <v>122.75300631935055</v>
      </c>
      <c r="D124" s="33">
        <f>C124*VLOOKUP($A$117,Ταρίφες!$A$6:$G$23,$K$6,FALSE)*(1+$F$3)^(B124-1)</f>
        <v>62604.033222868777</v>
      </c>
      <c r="E124" s="33">
        <f>C124*VLOOKUP($A$117,Ταρίφες!$A$6:$G$23,$K$7,FALSE)*(1+$F$3)^(B124-1)</f>
        <v>49101.202527740221</v>
      </c>
      <c r="F124" s="46">
        <f t="shared" si="65"/>
        <v>-2297.3713352985596</v>
      </c>
      <c r="G124" s="47">
        <f t="shared" si="66"/>
        <v>-918.94853411942381</v>
      </c>
      <c r="H124" s="47">
        <f t="shared" si="67"/>
        <v>-3216.3198694179837</v>
      </c>
      <c r="I124" s="46">
        <f t="shared" si="68"/>
        <v>-5169.0855044217587</v>
      </c>
      <c r="J124" s="47">
        <f t="shared" si="70"/>
        <v>-10480</v>
      </c>
      <c r="K124" s="47">
        <f t="shared" si="71"/>
        <v>-10535.800074698875</v>
      </c>
      <c r="L124" s="47">
        <f t="shared" si="72"/>
        <v>-7025.0640939654486</v>
      </c>
      <c r="M124" s="47">
        <f t="shared" si="73"/>
        <v>40466.507904912178</v>
      </c>
      <c r="N124" s="47">
        <f t="shared" si="74"/>
        <v>30474.413190517043</v>
      </c>
      <c r="O124" s="34"/>
      <c r="P124" s="35"/>
      <c r="Q124" s="35"/>
      <c r="R124" s="33"/>
      <c r="S124" s="43"/>
      <c r="T124" s="19"/>
      <c r="U124" s="27">
        <f t="shared" si="75"/>
        <v>40466.507904912178</v>
      </c>
      <c r="V124" s="28">
        <f t="shared" si="75"/>
        <v>30474.413190517043</v>
      </c>
      <c r="W124" s="43"/>
      <c r="X124" s="19"/>
      <c r="Y124" s="42">
        <f t="shared" si="51"/>
        <v>0</v>
      </c>
      <c r="Z124" s="42">
        <f t="shared" si="51"/>
        <v>0</v>
      </c>
    </row>
    <row r="125" spans="1:26" hidden="1" outlineLevel="1" x14ac:dyDescent="0.25">
      <c r="A125" s="18"/>
      <c r="B125" s="38">
        <f t="shared" si="76"/>
        <v>9</v>
      </c>
      <c r="C125" s="54">
        <f t="shared" si="69"/>
        <v>121.52547625615703</v>
      </c>
      <c r="D125" s="33">
        <f>C125*VLOOKUP($A$117,Ταρίφες!$A$6:$G$23,$K$6,FALSE)*(1+$F$3)^(B125-1)</f>
        <v>61977.992890640089</v>
      </c>
      <c r="E125" s="33">
        <f>C125*VLOOKUP($A$117,Ταρίφες!$A$6:$G$23,$K$7,FALSE)*(1+$F$3)^(B125-1)</f>
        <v>48610.190502462814</v>
      </c>
      <c r="F125" s="46">
        <f t="shared" si="65"/>
        <v>-2343.318762004531</v>
      </c>
      <c r="G125" s="47">
        <f t="shared" si="66"/>
        <v>-937.32750480181244</v>
      </c>
      <c r="H125" s="47">
        <f t="shared" si="67"/>
        <v>-3280.6462668063436</v>
      </c>
      <c r="I125" s="46">
        <f t="shared" si="68"/>
        <v>-5272.4672145101949</v>
      </c>
      <c r="J125" s="47">
        <f t="shared" si="70"/>
        <v>-10480</v>
      </c>
      <c r="K125" s="47">
        <f t="shared" si="71"/>
        <v>-10312.700617054476</v>
      </c>
      <c r="L125" s="47">
        <f t="shared" si="72"/>
        <v>-6837.071996128383</v>
      </c>
      <c r="M125" s="47">
        <f t="shared" si="73"/>
        <v>39831.532525462731</v>
      </c>
      <c r="N125" s="47">
        <f t="shared" si="74"/>
        <v>29939.358758211551</v>
      </c>
      <c r="O125" s="34"/>
      <c r="P125" s="35"/>
      <c r="Q125" s="35"/>
      <c r="R125" s="33"/>
      <c r="S125" s="43"/>
      <c r="T125" s="19"/>
      <c r="U125" s="27">
        <f t="shared" si="75"/>
        <v>39831.532525462731</v>
      </c>
      <c r="V125" s="28">
        <f t="shared" si="75"/>
        <v>29939.358758211551</v>
      </c>
      <c r="W125" s="43"/>
      <c r="X125" s="19"/>
      <c r="Y125" s="42">
        <f t="shared" si="51"/>
        <v>0</v>
      </c>
      <c r="Z125" s="42">
        <f t="shared" si="51"/>
        <v>0</v>
      </c>
    </row>
    <row r="126" spans="1:26" hidden="1" outlineLevel="1" x14ac:dyDescent="0.25">
      <c r="A126" s="18"/>
      <c r="B126" s="38">
        <f t="shared" si="76"/>
        <v>10</v>
      </c>
      <c r="C126" s="54">
        <f t="shared" si="69"/>
        <v>120.31022149359546</v>
      </c>
      <c r="D126" s="33">
        <f>C126*VLOOKUP($A$117,Ταρίφες!$A$6:$G$23,$K$6,FALSE)*(1+$F$3)^(B126-1)</f>
        <v>61358.212961733683</v>
      </c>
      <c r="E126" s="33">
        <f>C126*VLOOKUP($A$117,Ταρίφες!$A$6:$G$23,$K$7,FALSE)*(1+$F$3)^(B126-1)</f>
        <v>48124.088597438182</v>
      </c>
      <c r="F126" s="46">
        <f t="shared" si="65"/>
        <v>-2390.1851372446217</v>
      </c>
      <c r="G126" s="47">
        <f t="shared" si="66"/>
        <v>-956.07405489784867</v>
      </c>
      <c r="H126" s="47">
        <f t="shared" si="67"/>
        <v>-3346.2591921424705</v>
      </c>
      <c r="I126" s="46">
        <f t="shared" si="68"/>
        <v>-5377.9165588003989</v>
      </c>
      <c r="J126" s="47">
        <f t="shared" si="70"/>
        <v>-10480</v>
      </c>
      <c r="K126" s="47">
        <f t="shared" si="71"/>
        <v>-10090.02228484857</v>
      </c>
      <c r="L126" s="47">
        <f t="shared" si="72"/>
        <v>-6649.1499501317394</v>
      </c>
      <c r="M126" s="47">
        <f t="shared" si="73"/>
        <v>39197.755733799771</v>
      </c>
      <c r="N126" s="47">
        <f t="shared" si="74"/>
        <v>29404.503704221104</v>
      </c>
      <c r="O126" s="34"/>
      <c r="P126" s="35"/>
      <c r="Q126" s="35"/>
      <c r="R126" s="33"/>
      <c r="S126" s="43"/>
      <c r="T126" s="19"/>
      <c r="U126" s="27">
        <f t="shared" si="75"/>
        <v>39197.755733799771</v>
      </c>
      <c r="V126" s="28">
        <f t="shared" si="75"/>
        <v>29404.503704221104</v>
      </c>
      <c r="W126" s="43"/>
      <c r="X126" s="19"/>
      <c r="Y126" s="42">
        <f t="shared" si="51"/>
        <v>0</v>
      </c>
      <c r="Z126" s="42">
        <f t="shared" si="51"/>
        <v>0</v>
      </c>
    </row>
    <row r="127" spans="1:26" hidden="1" outlineLevel="1" x14ac:dyDescent="0.25">
      <c r="A127" s="18"/>
      <c r="B127" s="38">
        <f t="shared" si="76"/>
        <v>11</v>
      </c>
      <c r="C127" s="54">
        <f t="shared" si="69"/>
        <v>119.10711927865951</v>
      </c>
      <c r="D127" s="33">
        <f>C127*VLOOKUP($A$117,Ταρίφες!$A$6:$G$23,$K$6,FALSE)*(1+$F$3)^(B127-1)</f>
        <v>60744.630832116352</v>
      </c>
      <c r="E127" s="33">
        <f>C127*VLOOKUP($A$117,Ταρίφες!$A$6:$G$23,$K$7,FALSE)*(1+$F$3)^(B127-1)</f>
        <v>47642.847711463801</v>
      </c>
      <c r="F127" s="46">
        <f t="shared" si="65"/>
        <v>-2437.9888399895144</v>
      </c>
      <c r="G127" s="47">
        <f t="shared" si="66"/>
        <v>-975.1955359958057</v>
      </c>
      <c r="H127" s="47">
        <f t="shared" si="67"/>
        <v>-3413.18437598532</v>
      </c>
      <c r="I127" s="46">
        <f t="shared" si="68"/>
        <v>-5485.4748899764072</v>
      </c>
      <c r="J127" s="47">
        <f t="shared" si="70"/>
        <v>-10480</v>
      </c>
      <c r="K127" s="47">
        <f t="shared" si="71"/>
        <v>-9867.72466944402</v>
      </c>
      <c r="L127" s="47">
        <f t="shared" si="72"/>
        <v>-6461.2610580743567</v>
      </c>
      <c r="M127" s="47">
        <f t="shared" si="73"/>
        <v>38565.062520725289</v>
      </c>
      <c r="N127" s="47">
        <f t="shared" si="74"/>
        <v>28869.743011442399</v>
      </c>
      <c r="O127" s="34"/>
      <c r="P127" s="35"/>
      <c r="Q127" s="35"/>
      <c r="R127" s="33"/>
      <c r="S127" s="43"/>
      <c r="T127" s="19"/>
      <c r="U127" s="27">
        <f t="shared" si="75"/>
        <v>38565.062520725289</v>
      </c>
      <c r="V127" s="28">
        <f t="shared" si="75"/>
        <v>28869.743011442399</v>
      </c>
      <c r="W127" s="43"/>
      <c r="X127" s="19"/>
      <c r="Y127" s="42">
        <f t="shared" si="51"/>
        <v>0</v>
      </c>
      <c r="Z127" s="42">
        <f t="shared" si="51"/>
        <v>0</v>
      </c>
    </row>
    <row r="128" spans="1:26" hidden="1" outlineLevel="1" x14ac:dyDescent="0.25">
      <c r="A128" s="18"/>
      <c r="B128" s="38">
        <f t="shared" si="76"/>
        <v>12</v>
      </c>
      <c r="C128" s="54">
        <f t="shared" si="69"/>
        <v>117.91604808587292</v>
      </c>
      <c r="D128" s="33">
        <f>C128*VLOOKUP($A$117,Ταρίφες!$A$6:$G$23,$K$6,FALSE)*(1+$F$3)^(B128-1)</f>
        <v>60137.184523795186</v>
      </c>
      <c r="E128" s="33">
        <f>C128*VLOOKUP($A$117,Ταρίφες!$A$6:$G$23,$K$7,FALSE)*(1+$F$3)^(B128-1)</f>
        <v>47166.419234349167</v>
      </c>
      <c r="F128" s="46">
        <f t="shared" si="65"/>
        <v>-2486.7486167893039</v>
      </c>
      <c r="G128" s="47">
        <f t="shared" si="66"/>
        <v>-994.69944671572159</v>
      </c>
      <c r="H128" s="47">
        <f t="shared" si="67"/>
        <v>-3481.4480635050259</v>
      </c>
      <c r="I128" s="46">
        <f t="shared" si="68"/>
        <v>-5595.1843877759338</v>
      </c>
      <c r="J128" s="47">
        <f t="shared" si="70"/>
        <v>-10480</v>
      </c>
      <c r="K128" s="47">
        <f t="shared" si="71"/>
        <v>-9645.7670423423915</v>
      </c>
      <c r="L128" s="47">
        <f t="shared" si="72"/>
        <v>-6273.3680670864269</v>
      </c>
      <c r="M128" s="47">
        <f t="shared" si="73"/>
        <v>37933.336966666808</v>
      </c>
      <c r="N128" s="47">
        <f t="shared" si="74"/>
        <v>28334.970652476753</v>
      </c>
      <c r="O128" s="34"/>
      <c r="P128" s="35"/>
      <c r="Q128" s="35"/>
      <c r="R128" s="33"/>
      <c r="S128" s="43"/>
      <c r="T128" s="19"/>
      <c r="U128" s="27">
        <f t="shared" si="75"/>
        <v>37933.336966666808</v>
      </c>
      <c r="V128" s="28">
        <f t="shared" si="75"/>
        <v>28334.970652476753</v>
      </c>
      <c r="W128" s="43"/>
      <c r="X128" s="19"/>
      <c r="Y128" s="42">
        <f t="shared" si="51"/>
        <v>0</v>
      </c>
      <c r="Z128" s="42">
        <f t="shared" si="51"/>
        <v>0</v>
      </c>
    </row>
    <row r="129" spans="1:26" hidden="1" outlineLevel="1" x14ac:dyDescent="0.25">
      <c r="A129" s="18"/>
      <c r="B129" s="38">
        <f t="shared" si="76"/>
        <v>13</v>
      </c>
      <c r="C129" s="54">
        <f t="shared" si="69"/>
        <v>116.73688760501419</v>
      </c>
      <c r="D129" s="33">
        <f>C129*VLOOKUP($A$117,Ταρίφες!$A$6:$G$23,$K$6,FALSE)*(1+$F$3)^(B129-1)</f>
        <v>59535.812678557239</v>
      </c>
      <c r="E129" s="33">
        <f>C129*VLOOKUP($A$117,Ταρίφες!$A$6:$G$23,$K$7,FALSE)*(1+$F$3)^(B129-1)</f>
        <v>46694.755042005672</v>
      </c>
      <c r="F129" s="46">
        <f t="shared" si="65"/>
        <v>-2536.4835891250905</v>
      </c>
      <c r="G129" s="47">
        <f t="shared" si="66"/>
        <v>-1014.5934356500362</v>
      </c>
      <c r="H129" s="47">
        <f t="shared" si="67"/>
        <v>-3551.0770247751266</v>
      </c>
      <c r="I129" s="46">
        <f t="shared" si="68"/>
        <v>-5707.0880755314538</v>
      </c>
      <c r="J129" s="47">
        <f t="shared" si="70"/>
        <v>-10480</v>
      </c>
      <c r="K129" s="47">
        <f t="shared" si="71"/>
        <v>-9424.1083439036393</v>
      </c>
      <c r="L129" s="47">
        <f t="shared" si="72"/>
        <v>-6085.4333584002316</v>
      </c>
      <c r="M129" s="47">
        <f t="shared" si="73"/>
        <v>37302.462209571895</v>
      </c>
      <c r="N129" s="47">
        <f t="shared" si="74"/>
        <v>27800.079558523736</v>
      </c>
      <c r="O129" s="34"/>
      <c r="P129" s="35"/>
      <c r="Q129" s="35"/>
      <c r="R129" s="33"/>
      <c r="S129" s="43"/>
      <c r="T129" s="19"/>
      <c r="U129" s="27">
        <f t="shared" si="75"/>
        <v>37302.462209571895</v>
      </c>
      <c r="V129" s="28">
        <f t="shared" si="75"/>
        <v>27800.079558523736</v>
      </c>
      <c r="W129" s="43"/>
      <c r="X129" s="19"/>
      <c r="Y129" s="42">
        <f t="shared" si="51"/>
        <v>0</v>
      </c>
      <c r="Z129" s="42">
        <f t="shared" si="51"/>
        <v>0</v>
      </c>
    </row>
    <row r="130" spans="1:26" hidden="1" outlineLevel="1" x14ac:dyDescent="0.25">
      <c r="A130" s="18"/>
      <c r="B130" s="38">
        <f t="shared" si="76"/>
        <v>14</v>
      </c>
      <c r="C130" s="54">
        <f t="shared" si="69"/>
        <v>115.56951872896404</v>
      </c>
      <c r="D130" s="33">
        <f>C130*VLOOKUP($A$117,Ταρίφες!$A$6:$G$23,$K$6,FALSE)*(1+$F$3)^(B130-1)</f>
        <v>58940.454551771661</v>
      </c>
      <c r="E130" s="33">
        <f>C130*VLOOKUP($A$117,Ταρίφες!$A$6:$G$23,$K$7,FALSE)*(1+$F$3)^(B130-1)</f>
        <v>46227.80749158562</v>
      </c>
      <c r="F130" s="46">
        <f t="shared" si="65"/>
        <v>-2587.213260907592</v>
      </c>
      <c r="G130" s="47">
        <f t="shared" si="66"/>
        <v>-1034.8853043630368</v>
      </c>
      <c r="H130" s="47">
        <f t="shared" si="67"/>
        <v>-3622.098565270629</v>
      </c>
      <c r="I130" s="46">
        <f t="shared" si="68"/>
        <v>-5821.2298370420822</v>
      </c>
      <c r="J130" s="47">
        <f t="shared" si="70"/>
        <v>-10480</v>
      </c>
      <c r="K130" s="47">
        <f t="shared" si="71"/>
        <v>-9202.7071718889656</v>
      </c>
      <c r="L130" s="47">
        <f t="shared" si="72"/>
        <v>-5897.4189362405932</v>
      </c>
      <c r="M130" s="47">
        <f t="shared" si="73"/>
        <v>36672.320412299363</v>
      </c>
      <c r="N130" s="47">
        <f t="shared" si="74"/>
        <v>27264.961587761685</v>
      </c>
      <c r="O130" s="34"/>
      <c r="P130" s="35"/>
      <c r="Q130" s="35"/>
      <c r="R130" s="33"/>
      <c r="S130" s="43"/>
      <c r="T130" s="19"/>
      <c r="U130" s="27">
        <f t="shared" si="75"/>
        <v>36672.320412299363</v>
      </c>
      <c r="V130" s="28">
        <f t="shared" si="75"/>
        <v>27264.961587761685</v>
      </c>
      <c r="W130" s="43"/>
      <c r="X130" s="19"/>
      <c r="Y130" s="42">
        <f t="shared" si="51"/>
        <v>0</v>
      </c>
      <c r="Z130" s="42">
        <f t="shared" si="51"/>
        <v>0</v>
      </c>
    </row>
    <row r="131" spans="1:26" hidden="1" outlineLevel="1" x14ac:dyDescent="0.25">
      <c r="A131" s="18"/>
      <c r="B131" s="38">
        <f t="shared" si="76"/>
        <v>15</v>
      </c>
      <c r="C131" s="54">
        <f t="shared" si="69"/>
        <v>114.4138235416744</v>
      </c>
      <c r="D131" s="33">
        <f>C131*VLOOKUP($A$117,Ταρίφες!$A$6:$G$23,$K$6,FALSE)*(1+$F$3)^(B131-1)</f>
        <v>58351.050006253943</v>
      </c>
      <c r="E131" s="33">
        <f>C131*VLOOKUP($A$117,Ταρίφες!$A$6:$G$23,$K$7,FALSE)*(1+$F$3)^(B131-1)</f>
        <v>45765.529416669764</v>
      </c>
      <c r="F131" s="46">
        <f t="shared" si="65"/>
        <v>-2638.9575261257442</v>
      </c>
      <c r="G131" s="47">
        <f t="shared" si="66"/>
        <v>-1055.5830104502977</v>
      </c>
      <c r="H131" s="47">
        <f t="shared" si="67"/>
        <v>-3694.5405365760421</v>
      </c>
      <c r="I131" s="46">
        <f t="shared" si="68"/>
        <v>-5937.6544337829246</v>
      </c>
      <c r="J131" s="47">
        <f t="shared" si="70"/>
        <v>-10480</v>
      </c>
      <c r="K131" s="47">
        <f t="shared" si="71"/>
        <v>-8981.5217698229226</v>
      </c>
      <c r="L131" s="47">
        <f t="shared" si="72"/>
        <v>-5709.2864165310366</v>
      </c>
      <c r="M131" s="47">
        <f t="shared" si="73"/>
        <v>36042.79272949601</v>
      </c>
      <c r="N131" s="47">
        <f t="shared" si="74"/>
        <v>26729.507493203717</v>
      </c>
      <c r="O131" s="34"/>
      <c r="P131" s="35"/>
      <c r="Q131" s="35"/>
      <c r="R131" s="33"/>
      <c r="S131" s="43"/>
      <c r="T131" s="19"/>
      <c r="U131" s="27">
        <f t="shared" si="75"/>
        <v>36042.79272949601</v>
      </c>
      <c r="V131" s="28">
        <f t="shared" si="75"/>
        <v>26729.507493203717</v>
      </c>
      <c r="W131" s="43"/>
      <c r="X131" s="19"/>
      <c r="Y131" s="42">
        <f t="shared" si="51"/>
        <v>0</v>
      </c>
      <c r="Z131" s="42">
        <f t="shared" si="51"/>
        <v>0</v>
      </c>
    </row>
    <row r="132" spans="1:26" hidden="1" outlineLevel="1" x14ac:dyDescent="0.25">
      <c r="A132" s="18"/>
      <c r="B132" s="38">
        <f t="shared" si="76"/>
        <v>16</v>
      </c>
      <c r="C132" s="54">
        <f t="shared" si="69"/>
        <v>113.26968530625766</v>
      </c>
      <c r="D132" s="33">
        <f>C132*VLOOKUP($A$117,Ταρίφες!$A$6:$G$23,$K$6,FALSE)*(1+$F$3)^(B132-1)</f>
        <v>57767.539506191402</v>
      </c>
      <c r="E132" s="33">
        <f>C132*VLOOKUP($A$117,Ταρίφες!$A$6:$G$23,$K$7,FALSE)*(1+$F$3)^(B132-1)</f>
        <v>45307.874122503061</v>
      </c>
      <c r="F132" s="46">
        <f t="shared" si="65"/>
        <v>-2691.7366766482583</v>
      </c>
      <c r="G132" s="47">
        <f t="shared" si="66"/>
        <v>-1076.6946706593035</v>
      </c>
      <c r="H132" s="47">
        <f t="shared" si="67"/>
        <v>-3768.4313473075617</v>
      </c>
      <c r="I132" s="46">
        <f t="shared" si="68"/>
        <v>-6056.4075224585813</v>
      </c>
      <c r="J132" s="47">
        <f t="shared" si="70"/>
        <v>-10480</v>
      </c>
      <c r="K132" s="47">
        <f t="shared" si="71"/>
        <v>-8760.5100151706029</v>
      </c>
      <c r="L132" s="47">
        <f t="shared" si="72"/>
        <v>-5520.9970154116336</v>
      </c>
      <c r="M132" s="47">
        <f t="shared" si="73"/>
        <v>35413.7592739471</v>
      </c>
      <c r="N132" s="47">
        <f t="shared" si="74"/>
        <v>26193.606890017723</v>
      </c>
      <c r="O132" s="34"/>
      <c r="P132" s="35"/>
      <c r="Q132" s="35"/>
      <c r="R132" s="33"/>
      <c r="S132" s="43"/>
      <c r="T132" s="19"/>
      <c r="U132" s="27">
        <f t="shared" si="75"/>
        <v>35413.7592739471</v>
      </c>
      <c r="V132" s="28">
        <f t="shared" si="75"/>
        <v>26193.606890017723</v>
      </c>
      <c r="W132" s="43"/>
      <c r="X132" s="19"/>
      <c r="Y132" s="42">
        <f t="shared" si="51"/>
        <v>0</v>
      </c>
      <c r="Z132" s="42">
        <f t="shared" si="51"/>
        <v>0</v>
      </c>
    </row>
    <row r="133" spans="1:26" hidden="1" outlineLevel="1" x14ac:dyDescent="0.25">
      <c r="A133" s="18"/>
      <c r="B133" s="38">
        <f t="shared" si="76"/>
        <v>17</v>
      </c>
      <c r="C133" s="54">
        <f t="shared" si="69"/>
        <v>112.13698845319507</v>
      </c>
      <c r="D133" s="33">
        <f>C133*VLOOKUP($A$117,Ταρίφες!$A$6:$G$23,$K$6,FALSE)*(1+$F$3)^(B133-1)</f>
        <v>57189.864111129486</v>
      </c>
      <c r="E133" s="33">
        <f>C133*VLOOKUP($A$117,Ταρίφες!$A$6:$G$23,$K$7,FALSE)*(1+$F$3)^(B133-1)</f>
        <v>44854.795381278032</v>
      </c>
      <c r="F133" s="46">
        <f t="shared" si="65"/>
        <v>-2745.5714101812241</v>
      </c>
      <c r="G133" s="47">
        <f t="shared" si="66"/>
        <v>-1098.2285640724897</v>
      </c>
      <c r="H133" s="47">
        <f t="shared" si="67"/>
        <v>-3843.7999742537136</v>
      </c>
      <c r="I133" s="46">
        <f t="shared" si="68"/>
        <v>-6177.5356729077539</v>
      </c>
      <c r="J133" s="47">
        <f t="shared" si="70"/>
        <v>-10480</v>
      </c>
      <c r="K133" s="47">
        <f t="shared" si="71"/>
        <v>-8539.6294073257195</v>
      </c>
      <c r="L133" s="47">
        <f t="shared" si="72"/>
        <v>-5332.5115375643409</v>
      </c>
      <c r="M133" s="47">
        <f t="shared" si="73"/>
        <v>34785.09908238858</v>
      </c>
      <c r="N133" s="47">
        <f t="shared" si="74"/>
        <v>25657.148222298511</v>
      </c>
      <c r="O133" s="34"/>
      <c r="P133" s="35"/>
      <c r="Q133" s="35"/>
      <c r="R133" s="33"/>
      <c r="S133" s="43"/>
      <c r="T133" s="19"/>
      <c r="U133" s="27">
        <f t="shared" si="75"/>
        <v>34785.09908238858</v>
      </c>
      <c r="V133" s="28">
        <f t="shared" si="75"/>
        <v>25657.148222298511</v>
      </c>
      <c r="W133" s="43"/>
      <c r="X133" s="19"/>
      <c r="Y133" s="42">
        <f t="shared" si="51"/>
        <v>0</v>
      </c>
      <c r="Z133" s="42">
        <f t="shared" si="51"/>
        <v>0</v>
      </c>
    </row>
    <row r="134" spans="1:26" hidden="1" outlineLevel="1" x14ac:dyDescent="0.25">
      <c r="A134" s="18"/>
      <c r="B134" s="38">
        <f t="shared" si="76"/>
        <v>18</v>
      </c>
      <c r="C134" s="54">
        <f t="shared" si="69"/>
        <v>111.01561856866311</v>
      </c>
      <c r="D134" s="33">
        <f>C134*VLOOKUP($A$117,Ταρίφες!$A$6:$G$23,$K$6,FALSE)*(1+$F$3)^(B134-1)</f>
        <v>56617.965470018185</v>
      </c>
      <c r="E134" s="33">
        <f>C134*VLOOKUP($A$117,Ταρίφες!$A$6:$G$23,$K$7,FALSE)*(1+$F$3)^(B134-1)</f>
        <v>44406.247427465249</v>
      </c>
      <c r="F134" s="46">
        <f t="shared" si="65"/>
        <v>-2800.4828383848489</v>
      </c>
      <c r="G134" s="47">
        <f t="shared" si="66"/>
        <v>-1120.1931353539396</v>
      </c>
      <c r="H134" s="47">
        <f t="shared" si="67"/>
        <v>-3920.6759737387883</v>
      </c>
      <c r="I134" s="46">
        <f t="shared" si="68"/>
        <v>-6301.0863863659097</v>
      </c>
      <c r="J134" s="47">
        <f t="shared" si="70"/>
        <v>-10480</v>
      </c>
      <c r="K134" s="47">
        <f t="shared" si="71"/>
        <v>-8318.8370554054218</v>
      </c>
      <c r="L134" s="47">
        <f t="shared" si="72"/>
        <v>-5143.7903643416585</v>
      </c>
      <c r="M134" s="47">
        <f t="shared" si="73"/>
        <v>34156.69008076928</v>
      </c>
      <c r="N134" s="47">
        <f t="shared" si="74"/>
        <v>25120.018729280106</v>
      </c>
      <c r="O134" s="34"/>
      <c r="P134" s="35"/>
      <c r="Q134" s="35"/>
      <c r="R134" s="33"/>
      <c r="S134" s="43"/>
      <c r="T134" s="19"/>
      <c r="U134" s="27">
        <f t="shared" si="75"/>
        <v>34156.69008076928</v>
      </c>
      <c r="V134" s="28">
        <f t="shared" si="75"/>
        <v>25120.018729280106</v>
      </c>
      <c r="W134" s="43"/>
      <c r="X134" s="19"/>
      <c r="Y134" s="42">
        <f t="shared" si="51"/>
        <v>0</v>
      </c>
      <c r="Z134" s="42">
        <f t="shared" si="51"/>
        <v>0</v>
      </c>
    </row>
    <row r="135" spans="1:26" hidden="1" outlineLevel="1" x14ac:dyDescent="0.25">
      <c r="A135" s="18"/>
      <c r="B135" s="38">
        <f t="shared" si="76"/>
        <v>19</v>
      </c>
      <c r="C135" s="54">
        <f t="shared" si="69"/>
        <v>109.90546238297648</v>
      </c>
      <c r="D135" s="33">
        <f>C135*VLOOKUP($A$117,Ταρίφες!$A$6:$G$23,$K$6,FALSE)*(1+$F$3)^(B135-1)</f>
        <v>56051.785815318006</v>
      </c>
      <c r="E135" s="33">
        <f>C135*VLOOKUP($A$117,Ταρίφες!$A$6:$G$23,$K$7,FALSE)*(1+$F$3)^(B135-1)</f>
        <v>43962.18495319059</v>
      </c>
      <c r="F135" s="46">
        <f t="shared" si="65"/>
        <v>-2856.4924951525454</v>
      </c>
      <c r="G135" s="47">
        <f t="shared" si="66"/>
        <v>-1142.5969980610182</v>
      </c>
      <c r="H135" s="47">
        <f t="shared" si="67"/>
        <v>-3999.0894932135634</v>
      </c>
      <c r="I135" s="46">
        <f t="shared" si="68"/>
        <v>-6427.1081140932274</v>
      </c>
      <c r="J135" s="47">
        <f t="shared" si="70"/>
        <v>-10480</v>
      </c>
      <c r="K135" s="47">
        <f t="shared" si="71"/>
        <v>-8098.0896658473894</v>
      </c>
      <c r="L135" s="47">
        <f t="shared" si="72"/>
        <v>-4954.7934416942608</v>
      </c>
      <c r="M135" s="47">
        <f t="shared" si="73"/>
        <v>33528.409048950263</v>
      </c>
      <c r="N135" s="47">
        <f t="shared" si="74"/>
        <v>24582.104410975975</v>
      </c>
      <c r="O135" s="34"/>
      <c r="P135" s="35"/>
      <c r="Q135" s="35"/>
      <c r="R135" s="33"/>
      <c r="S135" s="43"/>
      <c r="T135" s="19"/>
      <c r="U135" s="27">
        <f t="shared" si="75"/>
        <v>33528.409048950263</v>
      </c>
      <c r="V135" s="28">
        <f t="shared" si="75"/>
        <v>24582.104410975975</v>
      </c>
      <c r="W135" s="43"/>
      <c r="X135" s="19"/>
      <c r="Y135" s="42">
        <f t="shared" si="51"/>
        <v>0</v>
      </c>
      <c r="Z135" s="42">
        <f t="shared" si="51"/>
        <v>0</v>
      </c>
    </row>
    <row r="136" spans="1:26" hidden="1" outlineLevel="1" x14ac:dyDescent="0.25">
      <c r="A136" s="18"/>
      <c r="B136" s="38">
        <f>B135+1</f>
        <v>20</v>
      </c>
      <c r="C136" s="54">
        <f>C135*(1-$F$2)</f>
        <v>108.80640775914671</v>
      </c>
      <c r="D136" s="33">
        <f>C136*VLOOKUP($A$117,Ταρίφες!$A$6:$G$23,$K$6,FALSE)*(1+$F$3)^(B136-1)</f>
        <v>55491.267957164819</v>
      </c>
      <c r="E136" s="33">
        <f>C136*VLOOKUP($A$117,Ταρίφες!$A$6:$G$23,$K$7,FALSE)*(1+$F$3)^(B136-1)</f>
        <v>43522.563103658686</v>
      </c>
      <c r="F136" s="46">
        <f t="shared" si="65"/>
        <v>-2913.6223450555963</v>
      </c>
      <c r="G136" s="47">
        <f t="shared" si="66"/>
        <v>-1165.4489380222385</v>
      </c>
      <c r="H136" s="47">
        <f>-$K$4*(1+$F$4)^(B136-$B$12)</f>
        <v>-4079.0712830778348</v>
      </c>
      <c r="I136" s="46">
        <f>-(4500*(1+$F$4)^(B136-$B$12))</f>
        <v>-6555.6502763750914</v>
      </c>
      <c r="J136" s="47">
        <f t="shared" si="70"/>
        <v>-10480</v>
      </c>
      <c r="K136" s="47">
        <f>-(D136+SUM(F136:J136))*$F$5</f>
        <v>-7877.3435298048553</v>
      </c>
      <c r="L136" s="47">
        <f>-(E136+SUM(F136:J136))*$F$5</f>
        <v>-4765.4802678932601</v>
      </c>
      <c r="M136" s="47">
        <f>D136+SUM(F136:I136)+K136</f>
        <v>32900.1315848292</v>
      </c>
      <c r="N136" s="47">
        <f>E136+SUM(F136:I136)+L136</f>
        <v>24043.289993234663</v>
      </c>
      <c r="O136" s="34"/>
      <c r="P136" s="35"/>
      <c r="Q136" s="35"/>
      <c r="R136" s="33"/>
      <c r="S136" s="43"/>
      <c r="T136" s="19"/>
      <c r="U136" s="27">
        <f>M136</f>
        <v>32900.1315848292</v>
      </c>
      <c r="V136" s="28">
        <f>N136</f>
        <v>24043.289993234663</v>
      </c>
      <c r="W136" s="43"/>
      <c r="X136" s="19"/>
      <c r="Y136" s="42">
        <f t="shared" si="51"/>
        <v>0</v>
      </c>
      <c r="Z136" s="42">
        <f t="shared" si="51"/>
        <v>0</v>
      </c>
    </row>
    <row r="137" spans="1:26" s="40" customFormat="1" hidden="1" outlineLevel="1" x14ac:dyDescent="0.25">
      <c r="O137" s="17"/>
      <c r="P137" s="25"/>
      <c r="Q137" s="25"/>
      <c r="R137" s="22"/>
      <c r="S137" s="52"/>
      <c r="T137" s="44"/>
      <c r="U137" s="74">
        <f>O138</f>
        <v>-245250</v>
      </c>
      <c r="V137" s="74">
        <f>R138</f>
        <v>-171410.41088104248</v>
      </c>
      <c r="W137" s="52"/>
      <c r="X137" s="44"/>
      <c r="Y137" s="42">
        <f t="shared" si="51"/>
        <v>0</v>
      </c>
      <c r="Z137" s="42">
        <f t="shared" si="51"/>
        <v>0</v>
      </c>
    </row>
    <row r="138" spans="1:26" collapsed="1" x14ac:dyDescent="0.25">
      <c r="A138" s="32" t="str">
        <f>Ταρίφες!A16</f>
        <v>Γ Τριμ. 2011</v>
      </c>
      <c r="B138" s="38">
        <f>1</f>
        <v>1</v>
      </c>
      <c r="C138" s="54">
        <f>$F$8*$K$2/1000</f>
        <v>131.69999999999999</v>
      </c>
      <c r="D138" s="33">
        <f>C138*VLOOKUP($A$138,Ταρίφες!$A$6:$G$23,$K$6,FALSE)*(1+$F$3)^(B138-1)</f>
        <v>67167</v>
      </c>
      <c r="E138" s="33">
        <f>C138*VLOOKUP($A$138,Ταρίφες!$A$6:$G$23,$K$7,FALSE)*(1+$F$3)^(B138-1)</f>
        <v>50045.999999999993</v>
      </c>
      <c r="F138" s="46">
        <f t="shared" ref="F138:F157" si="77">-($K$5*(1+$F$4)^(B138-$B$12))</f>
        <v>-2000</v>
      </c>
      <c r="G138" s="47">
        <f t="shared" ref="G138:G157" si="78">-$K$2*10*(1+$F$4)^(B138-$B$12)</f>
        <v>-800</v>
      </c>
      <c r="H138" s="47">
        <f t="shared" ref="H138:H156" si="79">-$K$4*(1+$F$4)^(B138-$B$12)</f>
        <v>-2800</v>
      </c>
      <c r="I138" s="46">
        <f t="shared" ref="I138:I156" si="80">-(4500*(1+$F$4)^(B138-$B$12))</f>
        <v>-4500</v>
      </c>
      <c r="J138" s="47">
        <f>$O$138*4%</f>
        <v>-9810</v>
      </c>
      <c r="K138" s="47">
        <f>-(D138+SUM(F138:J138))*$F$5</f>
        <v>-12286.82</v>
      </c>
      <c r="L138" s="47">
        <f>-(E138+SUM(F138:J138))*$F$5</f>
        <v>-7835.3599999999988</v>
      </c>
      <c r="M138" s="47">
        <f>D138+SUM(F138:I138)+K138</f>
        <v>44780.18</v>
      </c>
      <c r="N138" s="47">
        <f>E138+SUM(F138:I138)+L138</f>
        <v>32110.639999999992</v>
      </c>
      <c r="O138" s="35">
        <f>-VLOOKUP(A138,'Κόστος Κατασκευής'!$A$4:$Q$17,$K$8,FALSE)</f>
        <v>-245250</v>
      </c>
      <c r="P138" s="36">
        <f>$K$3</f>
        <v>96000</v>
      </c>
      <c r="Q138" s="36">
        <f>Q117*15/16</f>
        <v>-22160.410881042484</v>
      </c>
      <c r="R138" s="37">
        <f>SUM(O138:Q138)</f>
        <v>-171410.41088104248</v>
      </c>
      <c r="S138" s="42">
        <f>IRR(U137:U157)</f>
        <v>0.16124226652412177</v>
      </c>
      <c r="T138" s="42">
        <f>IRR(V137:V157)</f>
        <v>0.16464627211655003</v>
      </c>
      <c r="U138" s="27">
        <f>M138</f>
        <v>44780.18</v>
      </c>
      <c r="V138" s="28">
        <f>N138</f>
        <v>32110.639999999992</v>
      </c>
      <c r="W138" s="42">
        <f>'IRR ΔΣ Ισχύον'!S138</f>
        <v>0.16315736251868618</v>
      </c>
      <c r="X138" s="42">
        <f>'IRR ΔΣ Ισχύον'!T138</f>
        <v>0.15576572652026255</v>
      </c>
      <c r="Y138" s="42">
        <f t="shared" si="51"/>
        <v>-1.9150959945644086E-3</v>
      </c>
      <c r="Z138" s="42">
        <f t="shared" si="51"/>
        <v>8.8805455962874813E-3</v>
      </c>
    </row>
    <row r="139" spans="1:26" hidden="1" outlineLevel="1" x14ac:dyDescent="0.25">
      <c r="A139" s="18"/>
      <c r="B139" s="38">
        <f>B138+1</f>
        <v>2</v>
      </c>
      <c r="C139" s="54">
        <f t="shared" ref="C139:C156" si="81">C138*(1-$F$2)</f>
        <v>130.38299999999998</v>
      </c>
      <c r="D139" s="33">
        <f>C139*VLOOKUP($A$138,Ταρίφες!$A$6:$G$23,$K$6,FALSE)*(1+$F$3)^(B139-1)</f>
        <v>66495.329999999987</v>
      </c>
      <c r="E139" s="33">
        <f>C139*VLOOKUP($A$138,Ταρίφες!$A$6:$G$23,$K$7,FALSE)*(1+$F$3)^(B139-1)</f>
        <v>49545.539999999994</v>
      </c>
      <c r="F139" s="46">
        <f t="shared" si="77"/>
        <v>-2040</v>
      </c>
      <c r="G139" s="47">
        <f t="shared" si="78"/>
        <v>-816</v>
      </c>
      <c r="H139" s="47">
        <f t="shared" si="79"/>
        <v>-2856</v>
      </c>
      <c r="I139" s="46">
        <f t="shared" si="80"/>
        <v>-4590</v>
      </c>
      <c r="J139" s="47">
        <f t="shared" ref="J139:J157" si="82">$O$117*4%</f>
        <v>-10480</v>
      </c>
      <c r="K139" s="47">
        <f t="shared" ref="K139:K156" si="83">-(D139+SUM(F139:J139))*$F$5</f>
        <v>-11885.465799999996</v>
      </c>
      <c r="L139" s="47">
        <f t="shared" ref="L139:L156" si="84">-(E139+SUM(F139:J139))*$F$5</f>
        <v>-7478.5203999999985</v>
      </c>
      <c r="M139" s="47">
        <f t="shared" ref="M139:M156" si="85">D139+SUM(F139:I139)+K139</f>
        <v>44307.864199999989</v>
      </c>
      <c r="N139" s="47">
        <f t="shared" ref="N139:N156" si="86">E139+SUM(F139:I139)+L139</f>
        <v>31765.019599999996</v>
      </c>
      <c r="O139" s="34"/>
      <c r="P139" s="35"/>
      <c r="Q139" s="35"/>
      <c r="R139" s="33"/>
      <c r="S139" s="43"/>
      <c r="T139" s="19"/>
      <c r="U139" s="27">
        <f t="shared" ref="U139:V156" si="87">M139</f>
        <v>44307.864199999989</v>
      </c>
      <c r="V139" s="28">
        <f t="shared" si="87"/>
        <v>31765.019599999996</v>
      </c>
      <c r="W139" s="43"/>
      <c r="X139" s="19"/>
      <c r="Y139" s="42">
        <f t="shared" si="51"/>
        <v>0</v>
      </c>
      <c r="Z139" s="42">
        <f t="shared" si="51"/>
        <v>0</v>
      </c>
    </row>
    <row r="140" spans="1:26" hidden="1" outlineLevel="1" x14ac:dyDescent="0.25">
      <c r="A140" s="18"/>
      <c r="B140" s="38">
        <f t="shared" ref="B140:B156" si="88">B139+1</f>
        <v>3</v>
      </c>
      <c r="C140" s="54">
        <f t="shared" si="81"/>
        <v>129.07916999999998</v>
      </c>
      <c r="D140" s="33">
        <f>C140*VLOOKUP($A$138,Ταρίφες!$A$6:$G$23,$K$6,FALSE)*(1+$F$3)^(B140-1)</f>
        <v>65830.376699999993</v>
      </c>
      <c r="E140" s="33">
        <f>C140*VLOOKUP($A$138,Ταρίφες!$A$6:$G$23,$K$7,FALSE)*(1+$F$3)^(B140-1)</f>
        <v>49050.084599999987</v>
      </c>
      <c r="F140" s="46">
        <f t="shared" si="77"/>
        <v>-2080.8000000000002</v>
      </c>
      <c r="G140" s="47">
        <f t="shared" si="78"/>
        <v>-832.31999999999994</v>
      </c>
      <c r="H140" s="47">
        <f t="shared" si="79"/>
        <v>-2913.12</v>
      </c>
      <c r="I140" s="46">
        <f t="shared" si="80"/>
        <v>-4681.8</v>
      </c>
      <c r="J140" s="47">
        <f t="shared" si="82"/>
        <v>-10480</v>
      </c>
      <c r="K140" s="47">
        <f t="shared" si="83"/>
        <v>-11659.007541999998</v>
      </c>
      <c r="L140" s="47">
        <f t="shared" si="84"/>
        <v>-7296.1315959999965</v>
      </c>
      <c r="M140" s="47">
        <f t="shared" si="85"/>
        <v>43663.329157999993</v>
      </c>
      <c r="N140" s="47">
        <f t="shared" si="86"/>
        <v>31245.913003999991</v>
      </c>
      <c r="O140" s="34"/>
      <c r="P140" s="35"/>
      <c r="Q140" s="35"/>
      <c r="R140" s="33"/>
      <c r="S140" s="43"/>
      <c r="T140" s="19"/>
      <c r="U140" s="27">
        <f t="shared" si="87"/>
        <v>43663.329157999993</v>
      </c>
      <c r="V140" s="28">
        <f t="shared" si="87"/>
        <v>31245.913003999991</v>
      </c>
      <c r="W140" s="43"/>
      <c r="X140" s="19"/>
      <c r="Y140" s="42">
        <f t="shared" si="51"/>
        <v>0</v>
      </c>
      <c r="Z140" s="42">
        <f t="shared" si="51"/>
        <v>0</v>
      </c>
    </row>
    <row r="141" spans="1:26" hidden="1" outlineLevel="1" x14ac:dyDescent="0.25">
      <c r="A141" s="18"/>
      <c r="B141" s="38">
        <f t="shared" si="88"/>
        <v>4</v>
      </c>
      <c r="C141" s="54">
        <f t="shared" si="81"/>
        <v>127.78837829999998</v>
      </c>
      <c r="D141" s="33">
        <f>C141*VLOOKUP($A$138,Ταρίφες!$A$6:$G$23,$K$6,FALSE)*(1+$F$3)^(B141-1)</f>
        <v>65172.072932999989</v>
      </c>
      <c r="E141" s="33">
        <f>C141*VLOOKUP($A$138,Ταρίφες!$A$6:$G$23,$K$7,FALSE)*(1+$F$3)^(B141-1)</f>
        <v>48559.583753999992</v>
      </c>
      <c r="F141" s="46">
        <f t="shared" si="77"/>
        <v>-2122.4159999999997</v>
      </c>
      <c r="G141" s="47">
        <f t="shared" si="78"/>
        <v>-848.96639999999991</v>
      </c>
      <c r="H141" s="47">
        <f t="shared" si="79"/>
        <v>-2971.3824</v>
      </c>
      <c r="I141" s="46">
        <f t="shared" si="80"/>
        <v>-4775.4359999999997</v>
      </c>
      <c r="J141" s="47">
        <f t="shared" si="82"/>
        <v>-10480</v>
      </c>
      <c r="K141" s="47">
        <f t="shared" si="83"/>
        <v>-11433.206754579998</v>
      </c>
      <c r="L141" s="47">
        <f t="shared" si="84"/>
        <v>-7113.9595680399989</v>
      </c>
      <c r="M141" s="47">
        <f t="shared" si="85"/>
        <v>43020.665378419988</v>
      </c>
      <c r="N141" s="47">
        <f t="shared" si="86"/>
        <v>30727.423385959995</v>
      </c>
      <c r="O141" s="34"/>
      <c r="P141" s="35"/>
      <c r="Q141" s="35"/>
      <c r="R141" s="33"/>
      <c r="S141" s="43"/>
      <c r="T141" s="19"/>
      <c r="U141" s="27">
        <f t="shared" si="87"/>
        <v>43020.665378419988</v>
      </c>
      <c r="V141" s="28">
        <f t="shared" si="87"/>
        <v>30727.423385959995</v>
      </c>
      <c r="W141" s="43"/>
      <c r="X141" s="19"/>
      <c r="Y141" s="42">
        <f t="shared" ref="Y141:Z204" si="89">S141-W141</f>
        <v>0</v>
      </c>
      <c r="Z141" s="42">
        <f t="shared" si="89"/>
        <v>0</v>
      </c>
    </row>
    <row r="142" spans="1:26" hidden="1" outlineLevel="1" x14ac:dyDescent="0.25">
      <c r="A142" s="18"/>
      <c r="B142" s="38">
        <f t="shared" si="88"/>
        <v>5</v>
      </c>
      <c r="C142" s="54">
        <f t="shared" si="81"/>
        <v>126.51049451699997</v>
      </c>
      <c r="D142" s="33">
        <f>C142*VLOOKUP($A$138,Ταρίφες!$A$6:$G$23,$K$6,FALSE)*(1+$F$3)^(B142-1)</f>
        <v>64520.352203669987</v>
      </c>
      <c r="E142" s="33">
        <f>C142*VLOOKUP($A$138,Ταρίφες!$A$6:$G$23,$K$7,FALSE)*(1+$F$3)^(B142-1)</f>
        <v>48073.987916459992</v>
      </c>
      <c r="F142" s="46">
        <f t="shared" si="77"/>
        <v>-2164.8643200000001</v>
      </c>
      <c r="G142" s="47">
        <f t="shared" si="78"/>
        <v>-865.94572800000003</v>
      </c>
      <c r="H142" s="47">
        <f t="shared" si="79"/>
        <v>-3030.8100479999998</v>
      </c>
      <c r="I142" s="46">
        <f t="shared" si="80"/>
        <v>-4870.9447199999995</v>
      </c>
      <c r="J142" s="47">
        <f t="shared" si="82"/>
        <v>-10480</v>
      </c>
      <c r="K142" s="47">
        <f t="shared" si="83"/>
        <v>-11208.024720794197</v>
      </c>
      <c r="L142" s="47">
        <f t="shared" si="84"/>
        <v>-6931.9700061195981</v>
      </c>
      <c r="M142" s="47">
        <f t="shared" si="85"/>
        <v>42379.762666875788</v>
      </c>
      <c r="N142" s="47">
        <f t="shared" si="86"/>
        <v>30209.453094340395</v>
      </c>
      <c r="O142" s="34"/>
      <c r="P142" s="35"/>
      <c r="Q142" s="35"/>
      <c r="R142" s="33"/>
      <c r="S142" s="43"/>
      <c r="T142" s="19"/>
      <c r="U142" s="27">
        <f t="shared" si="87"/>
        <v>42379.762666875788</v>
      </c>
      <c r="V142" s="28">
        <f t="shared" si="87"/>
        <v>30209.453094340395</v>
      </c>
      <c r="W142" s="43"/>
      <c r="X142" s="19"/>
      <c r="Y142" s="42">
        <f t="shared" si="89"/>
        <v>0</v>
      </c>
      <c r="Z142" s="42">
        <f t="shared" si="89"/>
        <v>0</v>
      </c>
    </row>
    <row r="143" spans="1:26" hidden="1" outlineLevel="1" x14ac:dyDescent="0.25">
      <c r="A143" s="18"/>
      <c r="B143" s="38">
        <f t="shared" si="88"/>
        <v>6</v>
      </c>
      <c r="C143" s="54">
        <f t="shared" si="81"/>
        <v>125.24538957182997</v>
      </c>
      <c r="D143" s="33">
        <f>C143*VLOOKUP($A$138,Ταρίφες!$A$6:$G$23,$K$6,FALSE)*(1+$F$3)^(B143-1)</f>
        <v>63875.148681633284</v>
      </c>
      <c r="E143" s="33">
        <f>C143*VLOOKUP($A$138,Ταρίφες!$A$6:$G$23,$K$7,FALSE)*(1+$F$3)^(B143-1)</f>
        <v>47593.248037295387</v>
      </c>
      <c r="F143" s="46">
        <f t="shared" si="77"/>
        <v>-2208.1616064</v>
      </c>
      <c r="G143" s="47">
        <f t="shared" si="78"/>
        <v>-883.26464255999997</v>
      </c>
      <c r="H143" s="47">
        <f t="shared" si="79"/>
        <v>-3091.4262489600001</v>
      </c>
      <c r="I143" s="46">
        <f t="shared" si="80"/>
        <v>-4968.3636144000002</v>
      </c>
      <c r="J143" s="47">
        <f t="shared" si="82"/>
        <v>-10480</v>
      </c>
      <c r="K143" s="47">
        <f t="shared" si="83"/>
        <v>-10983.422468021454</v>
      </c>
      <c r="L143" s="47">
        <f t="shared" si="84"/>
        <v>-6750.1283004936013</v>
      </c>
      <c r="M143" s="47">
        <f t="shared" si="85"/>
        <v>41740.510101291831</v>
      </c>
      <c r="N143" s="47">
        <f t="shared" si="86"/>
        <v>29691.903624481787</v>
      </c>
      <c r="O143" s="34"/>
      <c r="P143" s="35"/>
      <c r="Q143" s="35"/>
      <c r="R143" s="33"/>
      <c r="S143" s="43"/>
      <c r="T143" s="19"/>
      <c r="U143" s="27">
        <f t="shared" si="87"/>
        <v>41740.510101291831</v>
      </c>
      <c r="V143" s="28">
        <f t="shared" si="87"/>
        <v>29691.903624481787</v>
      </c>
      <c r="W143" s="43"/>
      <c r="X143" s="19"/>
      <c r="Y143" s="42">
        <f t="shared" si="89"/>
        <v>0</v>
      </c>
      <c r="Z143" s="42">
        <f t="shared" si="89"/>
        <v>0</v>
      </c>
    </row>
    <row r="144" spans="1:26" hidden="1" outlineLevel="1" x14ac:dyDescent="0.25">
      <c r="A144" s="18"/>
      <c r="B144" s="38">
        <f t="shared" si="88"/>
        <v>7</v>
      </c>
      <c r="C144" s="54">
        <f t="shared" si="81"/>
        <v>123.99293567611167</v>
      </c>
      <c r="D144" s="33">
        <f>C144*VLOOKUP($A$138,Ταρίφες!$A$6:$G$23,$K$6,FALSE)*(1+$F$3)^(B144-1)</f>
        <v>63236.397194816949</v>
      </c>
      <c r="E144" s="33">
        <f>C144*VLOOKUP($A$138,Ταρίφες!$A$6:$G$23,$K$7,FALSE)*(1+$F$3)^(B144-1)</f>
        <v>47117.315556922433</v>
      </c>
      <c r="F144" s="46">
        <f t="shared" si="77"/>
        <v>-2252.3248385280003</v>
      </c>
      <c r="G144" s="47">
        <f t="shared" si="78"/>
        <v>-900.92993541120006</v>
      </c>
      <c r="H144" s="47">
        <f t="shared" si="79"/>
        <v>-3153.2547739392003</v>
      </c>
      <c r="I144" s="46">
        <f t="shared" si="80"/>
        <v>-5067.7308866880003</v>
      </c>
      <c r="J144" s="47">
        <f t="shared" si="82"/>
        <v>-10480</v>
      </c>
      <c r="K144" s="47">
        <f t="shared" si="83"/>
        <v>-10759.360757665145</v>
      </c>
      <c r="L144" s="47">
        <f t="shared" si="84"/>
        <v>-6568.399531812569</v>
      </c>
      <c r="M144" s="47">
        <f t="shared" si="85"/>
        <v>41102.796002585412</v>
      </c>
      <c r="N144" s="47">
        <f t="shared" si="86"/>
        <v>29174.675590543469</v>
      </c>
      <c r="O144" s="34"/>
      <c r="P144" s="35"/>
      <c r="Q144" s="35"/>
      <c r="R144" s="33"/>
      <c r="S144" s="43"/>
      <c r="T144" s="19"/>
      <c r="U144" s="27">
        <f t="shared" si="87"/>
        <v>41102.796002585412</v>
      </c>
      <c r="V144" s="28">
        <f t="shared" si="87"/>
        <v>29174.675590543469</v>
      </c>
      <c r="W144" s="43"/>
      <c r="X144" s="19"/>
      <c r="Y144" s="42">
        <f t="shared" si="89"/>
        <v>0</v>
      </c>
      <c r="Z144" s="42">
        <f t="shared" si="89"/>
        <v>0</v>
      </c>
    </row>
    <row r="145" spans="1:26" hidden="1" outlineLevel="1" x14ac:dyDescent="0.25">
      <c r="A145" s="18"/>
      <c r="B145" s="38">
        <f t="shared" si="88"/>
        <v>8</v>
      </c>
      <c r="C145" s="54">
        <f t="shared" si="81"/>
        <v>122.75300631935055</v>
      </c>
      <c r="D145" s="33">
        <f>C145*VLOOKUP($A$138,Ταρίφες!$A$6:$G$23,$K$6,FALSE)*(1+$F$3)^(B145-1)</f>
        <v>62604.033222868777</v>
      </c>
      <c r="E145" s="33">
        <f>C145*VLOOKUP($A$138,Ταρίφες!$A$6:$G$23,$K$7,FALSE)*(1+$F$3)^(B145-1)</f>
        <v>46646.142401353209</v>
      </c>
      <c r="F145" s="46">
        <f t="shared" si="77"/>
        <v>-2297.3713352985596</v>
      </c>
      <c r="G145" s="47">
        <f t="shared" si="78"/>
        <v>-918.94853411942381</v>
      </c>
      <c r="H145" s="47">
        <f t="shared" si="79"/>
        <v>-3216.3198694179837</v>
      </c>
      <c r="I145" s="46">
        <f t="shared" si="80"/>
        <v>-5169.0855044217587</v>
      </c>
      <c r="J145" s="47">
        <f t="shared" si="82"/>
        <v>-10480</v>
      </c>
      <c r="K145" s="47">
        <f t="shared" si="83"/>
        <v>-10535.800074698875</v>
      </c>
      <c r="L145" s="47">
        <f t="shared" si="84"/>
        <v>-6386.7484611048258</v>
      </c>
      <c r="M145" s="47">
        <f t="shared" si="85"/>
        <v>40466.507904912178</v>
      </c>
      <c r="N145" s="47">
        <f t="shared" si="86"/>
        <v>28657.668696990659</v>
      </c>
      <c r="O145" s="34"/>
      <c r="P145" s="35"/>
      <c r="Q145" s="35"/>
      <c r="R145" s="33"/>
      <c r="S145" s="43"/>
      <c r="T145" s="19"/>
      <c r="U145" s="27">
        <f t="shared" si="87"/>
        <v>40466.507904912178</v>
      </c>
      <c r="V145" s="28">
        <f t="shared" si="87"/>
        <v>28657.668696990659</v>
      </c>
      <c r="W145" s="43"/>
      <c r="X145" s="19"/>
      <c r="Y145" s="42">
        <f t="shared" si="89"/>
        <v>0</v>
      </c>
      <c r="Z145" s="42">
        <f t="shared" si="89"/>
        <v>0</v>
      </c>
    </row>
    <row r="146" spans="1:26" hidden="1" outlineLevel="1" x14ac:dyDescent="0.25">
      <c r="A146" s="18"/>
      <c r="B146" s="38">
        <f t="shared" si="88"/>
        <v>9</v>
      </c>
      <c r="C146" s="54">
        <f t="shared" si="81"/>
        <v>121.52547625615703</v>
      </c>
      <c r="D146" s="33">
        <f>C146*VLOOKUP($A$138,Ταρίφες!$A$6:$G$23,$K$6,FALSE)*(1+$F$3)^(B146-1)</f>
        <v>61977.992890640089</v>
      </c>
      <c r="E146" s="33">
        <f>C146*VLOOKUP($A$138,Ταρίφες!$A$6:$G$23,$K$7,FALSE)*(1+$F$3)^(B146-1)</f>
        <v>46179.680977339674</v>
      </c>
      <c r="F146" s="46">
        <f t="shared" si="77"/>
        <v>-2343.318762004531</v>
      </c>
      <c r="G146" s="47">
        <f t="shared" si="78"/>
        <v>-937.32750480181244</v>
      </c>
      <c r="H146" s="47">
        <f t="shared" si="79"/>
        <v>-3280.6462668063436</v>
      </c>
      <c r="I146" s="46">
        <f t="shared" si="80"/>
        <v>-5272.4672145101949</v>
      </c>
      <c r="J146" s="47">
        <f t="shared" si="82"/>
        <v>-10480</v>
      </c>
      <c r="K146" s="47">
        <f t="shared" si="83"/>
        <v>-10312.700617054476</v>
      </c>
      <c r="L146" s="47">
        <f t="shared" si="84"/>
        <v>-6205.1395195963669</v>
      </c>
      <c r="M146" s="47">
        <f t="shared" si="85"/>
        <v>39831.532525462731</v>
      </c>
      <c r="N146" s="47">
        <f t="shared" si="86"/>
        <v>28140.781709620427</v>
      </c>
      <c r="O146" s="34"/>
      <c r="P146" s="35"/>
      <c r="Q146" s="35"/>
      <c r="R146" s="33"/>
      <c r="S146" s="43"/>
      <c r="T146" s="19"/>
      <c r="U146" s="27">
        <f t="shared" si="87"/>
        <v>39831.532525462731</v>
      </c>
      <c r="V146" s="28">
        <f t="shared" si="87"/>
        <v>28140.781709620427</v>
      </c>
      <c r="W146" s="43"/>
      <c r="X146" s="19"/>
      <c r="Y146" s="42">
        <f t="shared" si="89"/>
        <v>0</v>
      </c>
      <c r="Z146" s="42">
        <f t="shared" si="89"/>
        <v>0</v>
      </c>
    </row>
    <row r="147" spans="1:26" hidden="1" outlineLevel="1" x14ac:dyDescent="0.25">
      <c r="A147" s="18"/>
      <c r="B147" s="38">
        <f t="shared" si="88"/>
        <v>10</v>
      </c>
      <c r="C147" s="54">
        <f t="shared" si="81"/>
        <v>120.31022149359546</v>
      </c>
      <c r="D147" s="33">
        <f>C147*VLOOKUP($A$138,Ταρίφες!$A$6:$G$23,$K$6,FALSE)*(1+$F$3)^(B147-1)</f>
        <v>61358.212961733683</v>
      </c>
      <c r="E147" s="33">
        <f>C147*VLOOKUP($A$138,Ταρίφες!$A$6:$G$23,$K$7,FALSE)*(1+$F$3)^(B147-1)</f>
        <v>45717.884167566277</v>
      </c>
      <c r="F147" s="46">
        <f t="shared" si="77"/>
        <v>-2390.1851372446217</v>
      </c>
      <c r="G147" s="47">
        <f t="shared" si="78"/>
        <v>-956.07405489784867</v>
      </c>
      <c r="H147" s="47">
        <f t="shared" si="79"/>
        <v>-3346.2591921424705</v>
      </c>
      <c r="I147" s="46">
        <f t="shared" si="80"/>
        <v>-5377.9165588003989</v>
      </c>
      <c r="J147" s="47">
        <f t="shared" si="82"/>
        <v>-10480</v>
      </c>
      <c r="K147" s="47">
        <f t="shared" si="83"/>
        <v>-10090.02228484857</v>
      </c>
      <c r="L147" s="47">
        <f t="shared" si="84"/>
        <v>-6023.536798365044</v>
      </c>
      <c r="M147" s="47">
        <f t="shared" si="85"/>
        <v>39197.755733799771</v>
      </c>
      <c r="N147" s="47">
        <f t="shared" si="86"/>
        <v>27623.912426115894</v>
      </c>
      <c r="O147" s="34"/>
      <c r="P147" s="35"/>
      <c r="Q147" s="35"/>
      <c r="R147" s="33"/>
      <c r="S147" s="43"/>
      <c r="T147" s="19"/>
      <c r="U147" s="27">
        <f t="shared" si="87"/>
        <v>39197.755733799771</v>
      </c>
      <c r="V147" s="28">
        <f t="shared" si="87"/>
        <v>27623.912426115894</v>
      </c>
      <c r="W147" s="43"/>
      <c r="X147" s="19"/>
      <c r="Y147" s="42">
        <f t="shared" si="89"/>
        <v>0</v>
      </c>
      <c r="Z147" s="42">
        <f t="shared" si="89"/>
        <v>0</v>
      </c>
    </row>
    <row r="148" spans="1:26" hidden="1" outlineLevel="1" x14ac:dyDescent="0.25">
      <c r="A148" s="18"/>
      <c r="B148" s="38">
        <f t="shared" si="88"/>
        <v>11</v>
      </c>
      <c r="C148" s="54">
        <f t="shared" si="81"/>
        <v>119.10711927865951</v>
      </c>
      <c r="D148" s="33">
        <f>C148*VLOOKUP($A$138,Ταρίφες!$A$6:$G$23,$K$6,FALSE)*(1+$F$3)^(B148-1)</f>
        <v>60744.630832116352</v>
      </c>
      <c r="E148" s="33">
        <f>C148*VLOOKUP($A$138,Ταρίφες!$A$6:$G$23,$K$7,FALSE)*(1+$F$3)^(B148-1)</f>
        <v>45260.705325890616</v>
      </c>
      <c r="F148" s="46">
        <f t="shared" si="77"/>
        <v>-2437.9888399895144</v>
      </c>
      <c r="G148" s="47">
        <f t="shared" si="78"/>
        <v>-975.1955359958057</v>
      </c>
      <c r="H148" s="47">
        <f t="shared" si="79"/>
        <v>-3413.18437598532</v>
      </c>
      <c r="I148" s="46">
        <f t="shared" si="80"/>
        <v>-5485.4748899764072</v>
      </c>
      <c r="J148" s="47">
        <f t="shared" si="82"/>
        <v>-10480</v>
      </c>
      <c r="K148" s="47">
        <f t="shared" si="83"/>
        <v>-9867.72466944402</v>
      </c>
      <c r="L148" s="47">
        <f t="shared" si="84"/>
        <v>-5841.9040378253285</v>
      </c>
      <c r="M148" s="47">
        <f t="shared" si="85"/>
        <v>38565.062520725289</v>
      </c>
      <c r="N148" s="47">
        <f t="shared" si="86"/>
        <v>27106.957646118244</v>
      </c>
      <c r="O148" s="34"/>
      <c r="P148" s="35"/>
      <c r="Q148" s="35"/>
      <c r="R148" s="33"/>
      <c r="S148" s="43"/>
      <c r="T148" s="19"/>
      <c r="U148" s="27">
        <f t="shared" si="87"/>
        <v>38565.062520725289</v>
      </c>
      <c r="V148" s="28">
        <f t="shared" si="87"/>
        <v>27106.957646118244</v>
      </c>
      <c r="W148" s="43"/>
      <c r="X148" s="19"/>
      <c r="Y148" s="42">
        <f t="shared" si="89"/>
        <v>0</v>
      </c>
      <c r="Z148" s="42">
        <f t="shared" si="89"/>
        <v>0</v>
      </c>
    </row>
    <row r="149" spans="1:26" hidden="1" outlineLevel="1" x14ac:dyDescent="0.25">
      <c r="A149" s="18"/>
      <c r="B149" s="38">
        <f t="shared" si="88"/>
        <v>12</v>
      </c>
      <c r="C149" s="54">
        <f t="shared" si="81"/>
        <v>117.91604808587292</v>
      </c>
      <c r="D149" s="33">
        <f>C149*VLOOKUP($A$138,Ταρίφες!$A$6:$G$23,$K$6,FALSE)*(1+$F$3)^(B149-1)</f>
        <v>60137.184523795186</v>
      </c>
      <c r="E149" s="33">
        <f>C149*VLOOKUP($A$138,Ταρίφες!$A$6:$G$23,$K$7,FALSE)*(1+$F$3)^(B149-1)</f>
        <v>44808.098272631709</v>
      </c>
      <c r="F149" s="46">
        <f t="shared" si="77"/>
        <v>-2486.7486167893039</v>
      </c>
      <c r="G149" s="47">
        <f t="shared" si="78"/>
        <v>-994.69944671572159</v>
      </c>
      <c r="H149" s="47">
        <f t="shared" si="79"/>
        <v>-3481.4480635050259</v>
      </c>
      <c r="I149" s="46">
        <f t="shared" si="80"/>
        <v>-5595.1843877759338</v>
      </c>
      <c r="J149" s="47">
        <f t="shared" si="82"/>
        <v>-10480</v>
      </c>
      <c r="K149" s="47">
        <f t="shared" si="83"/>
        <v>-9645.7670423423915</v>
      </c>
      <c r="L149" s="47">
        <f t="shared" si="84"/>
        <v>-5660.204617039888</v>
      </c>
      <c r="M149" s="47">
        <f t="shared" si="85"/>
        <v>37933.336966666808</v>
      </c>
      <c r="N149" s="47">
        <f t="shared" si="86"/>
        <v>26589.813140805833</v>
      </c>
      <c r="O149" s="34"/>
      <c r="P149" s="35"/>
      <c r="Q149" s="35"/>
      <c r="R149" s="33"/>
      <c r="S149" s="43"/>
      <c r="T149" s="19"/>
      <c r="U149" s="27">
        <f t="shared" si="87"/>
        <v>37933.336966666808</v>
      </c>
      <c r="V149" s="28">
        <f t="shared" si="87"/>
        <v>26589.813140805833</v>
      </c>
      <c r="W149" s="43"/>
      <c r="X149" s="19"/>
      <c r="Y149" s="42">
        <f t="shared" si="89"/>
        <v>0</v>
      </c>
      <c r="Z149" s="42">
        <f t="shared" si="89"/>
        <v>0</v>
      </c>
    </row>
    <row r="150" spans="1:26" hidden="1" outlineLevel="1" x14ac:dyDescent="0.25">
      <c r="A150" s="18"/>
      <c r="B150" s="38">
        <f t="shared" si="88"/>
        <v>13</v>
      </c>
      <c r="C150" s="54">
        <f t="shared" si="81"/>
        <v>116.73688760501419</v>
      </c>
      <c r="D150" s="33">
        <f>C150*VLOOKUP($A$138,Ταρίφες!$A$6:$G$23,$K$6,FALSE)*(1+$F$3)^(B150-1)</f>
        <v>59535.812678557239</v>
      </c>
      <c r="E150" s="33">
        <f>C150*VLOOKUP($A$138,Ταρίφες!$A$6:$G$23,$K$7,FALSE)*(1+$F$3)^(B150-1)</f>
        <v>44360.017289905394</v>
      </c>
      <c r="F150" s="46">
        <f t="shared" si="77"/>
        <v>-2536.4835891250905</v>
      </c>
      <c r="G150" s="47">
        <f t="shared" si="78"/>
        <v>-1014.5934356500362</v>
      </c>
      <c r="H150" s="47">
        <f t="shared" si="79"/>
        <v>-3551.0770247751266</v>
      </c>
      <c r="I150" s="46">
        <f t="shared" si="80"/>
        <v>-5707.0880755314538</v>
      </c>
      <c r="J150" s="47">
        <f t="shared" si="82"/>
        <v>-10480</v>
      </c>
      <c r="K150" s="47">
        <f t="shared" si="83"/>
        <v>-9424.1083439036393</v>
      </c>
      <c r="L150" s="47">
        <f t="shared" si="84"/>
        <v>-5478.4015428541588</v>
      </c>
      <c r="M150" s="47">
        <f t="shared" si="85"/>
        <v>37302.462209571895</v>
      </c>
      <c r="N150" s="47">
        <f t="shared" si="86"/>
        <v>26072.373621969527</v>
      </c>
      <c r="O150" s="34"/>
      <c r="P150" s="35"/>
      <c r="Q150" s="35"/>
      <c r="R150" s="33"/>
      <c r="S150" s="43"/>
      <c r="T150" s="19"/>
      <c r="U150" s="27">
        <f t="shared" si="87"/>
        <v>37302.462209571895</v>
      </c>
      <c r="V150" s="28">
        <f t="shared" si="87"/>
        <v>26072.373621969527</v>
      </c>
      <c r="W150" s="43"/>
      <c r="X150" s="19"/>
      <c r="Y150" s="42">
        <f t="shared" si="89"/>
        <v>0</v>
      </c>
      <c r="Z150" s="42">
        <f t="shared" si="89"/>
        <v>0</v>
      </c>
    </row>
    <row r="151" spans="1:26" hidden="1" outlineLevel="1" x14ac:dyDescent="0.25">
      <c r="A151" s="18"/>
      <c r="B151" s="38">
        <f t="shared" si="88"/>
        <v>14</v>
      </c>
      <c r="C151" s="54">
        <f t="shared" si="81"/>
        <v>115.56951872896404</v>
      </c>
      <c r="D151" s="33">
        <f>C151*VLOOKUP($A$138,Ταρίφες!$A$6:$G$23,$K$6,FALSE)*(1+$F$3)^(B151-1)</f>
        <v>58940.454551771661</v>
      </c>
      <c r="E151" s="33">
        <f>C151*VLOOKUP($A$138,Ταρίφες!$A$6:$G$23,$K$7,FALSE)*(1+$F$3)^(B151-1)</f>
        <v>43916.417117006335</v>
      </c>
      <c r="F151" s="46">
        <f t="shared" si="77"/>
        <v>-2587.213260907592</v>
      </c>
      <c r="G151" s="47">
        <f t="shared" si="78"/>
        <v>-1034.8853043630368</v>
      </c>
      <c r="H151" s="47">
        <f t="shared" si="79"/>
        <v>-3622.098565270629</v>
      </c>
      <c r="I151" s="46">
        <f t="shared" si="80"/>
        <v>-5821.2298370420822</v>
      </c>
      <c r="J151" s="47">
        <f t="shared" si="82"/>
        <v>-10480</v>
      </c>
      <c r="K151" s="47">
        <f t="shared" si="83"/>
        <v>-9202.7071718889656</v>
      </c>
      <c r="L151" s="47">
        <f t="shared" si="84"/>
        <v>-5296.4574388499796</v>
      </c>
      <c r="M151" s="47">
        <f t="shared" si="85"/>
        <v>36672.320412299363</v>
      </c>
      <c r="N151" s="47">
        <f t="shared" si="86"/>
        <v>25554.532710573018</v>
      </c>
      <c r="O151" s="34"/>
      <c r="P151" s="35"/>
      <c r="Q151" s="35"/>
      <c r="R151" s="33"/>
      <c r="S151" s="43"/>
      <c r="T151" s="19"/>
      <c r="U151" s="27">
        <f t="shared" si="87"/>
        <v>36672.320412299363</v>
      </c>
      <c r="V151" s="28">
        <f t="shared" si="87"/>
        <v>25554.532710573018</v>
      </c>
      <c r="W151" s="43"/>
      <c r="X151" s="19"/>
      <c r="Y151" s="42">
        <f t="shared" si="89"/>
        <v>0</v>
      </c>
      <c r="Z151" s="42">
        <f t="shared" si="89"/>
        <v>0</v>
      </c>
    </row>
    <row r="152" spans="1:26" hidden="1" outlineLevel="1" x14ac:dyDescent="0.25">
      <c r="A152" s="18"/>
      <c r="B152" s="38">
        <f t="shared" si="88"/>
        <v>15</v>
      </c>
      <c r="C152" s="54">
        <f t="shared" si="81"/>
        <v>114.4138235416744</v>
      </c>
      <c r="D152" s="33">
        <f>C152*VLOOKUP($A$138,Ταρίφες!$A$6:$G$23,$K$6,FALSE)*(1+$F$3)^(B152-1)</f>
        <v>58351.050006253943</v>
      </c>
      <c r="E152" s="33">
        <f>C152*VLOOKUP($A$138,Ταρίφες!$A$6:$G$23,$K$7,FALSE)*(1+$F$3)^(B152-1)</f>
        <v>43477.252945836277</v>
      </c>
      <c r="F152" s="46">
        <f t="shared" si="77"/>
        <v>-2638.9575261257442</v>
      </c>
      <c r="G152" s="47">
        <f t="shared" si="78"/>
        <v>-1055.5830104502977</v>
      </c>
      <c r="H152" s="47">
        <f t="shared" si="79"/>
        <v>-3694.5405365760421</v>
      </c>
      <c r="I152" s="46">
        <f t="shared" si="80"/>
        <v>-5937.6544337829246</v>
      </c>
      <c r="J152" s="47">
        <f t="shared" si="82"/>
        <v>-10480</v>
      </c>
      <c r="K152" s="47">
        <f t="shared" si="83"/>
        <v>-8981.5217698229226</v>
      </c>
      <c r="L152" s="47">
        <f t="shared" si="84"/>
        <v>-5114.3345341143295</v>
      </c>
      <c r="M152" s="47">
        <f t="shared" si="85"/>
        <v>36042.79272949601</v>
      </c>
      <c r="N152" s="47">
        <f t="shared" si="86"/>
        <v>25036.18290478694</v>
      </c>
      <c r="O152" s="34"/>
      <c r="P152" s="35"/>
      <c r="Q152" s="35"/>
      <c r="R152" s="33"/>
      <c r="S152" s="43"/>
      <c r="T152" s="19"/>
      <c r="U152" s="27">
        <f t="shared" si="87"/>
        <v>36042.79272949601</v>
      </c>
      <c r="V152" s="28">
        <f t="shared" si="87"/>
        <v>25036.18290478694</v>
      </c>
      <c r="W152" s="43"/>
      <c r="X152" s="19"/>
      <c r="Y152" s="42">
        <f t="shared" si="89"/>
        <v>0</v>
      </c>
      <c r="Z152" s="42">
        <f t="shared" si="89"/>
        <v>0</v>
      </c>
    </row>
    <row r="153" spans="1:26" hidden="1" outlineLevel="1" x14ac:dyDescent="0.25">
      <c r="A153" s="18"/>
      <c r="B153" s="38">
        <f t="shared" si="88"/>
        <v>16</v>
      </c>
      <c r="C153" s="54">
        <f t="shared" si="81"/>
        <v>113.26968530625766</v>
      </c>
      <c r="D153" s="33">
        <f>C153*VLOOKUP($A$138,Ταρίφες!$A$6:$G$23,$K$6,FALSE)*(1+$F$3)^(B153-1)</f>
        <v>57767.539506191402</v>
      </c>
      <c r="E153" s="33">
        <f>C153*VLOOKUP($A$138,Ταρίφες!$A$6:$G$23,$K$7,FALSE)*(1+$F$3)^(B153-1)</f>
        <v>43042.480416377912</v>
      </c>
      <c r="F153" s="46">
        <f t="shared" si="77"/>
        <v>-2691.7366766482583</v>
      </c>
      <c r="G153" s="47">
        <f t="shared" si="78"/>
        <v>-1076.6946706593035</v>
      </c>
      <c r="H153" s="47">
        <f t="shared" si="79"/>
        <v>-3768.4313473075617</v>
      </c>
      <c r="I153" s="46">
        <f t="shared" si="80"/>
        <v>-6056.4075224585813</v>
      </c>
      <c r="J153" s="47">
        <f t="shared" si="82"/>
        <v>-10480</v>
      </c>
      <c r="K153" s="47">
        <f t="shared" si="83"/>
        <v>-8760.5100151706029</v>
      </c>
      <c r="L153" s="47">
        <f t="shared" si="84"/>
        <v>-4931.9946518190945</v>
      </c>
      <c r="M153" s="47">
        <f t="shared" si="85"/>
        <v>35413.7592739471</v>
      </c>
      <c r="N153" s="47">
        <f t="shared" si="86"/>
        <v>24517.215547485113</v>
      </c>
      <c r="O153" s="34"/>
      <c r="P153" s="35"/>
      <c r="Q153" s="35"/>
      <c r="R153" s="33"/>
      <c r="S153" s="43"/>
      <c r="T153" s="19"/>
      <c r="U153" s="27">
        <f t="shared" si="87"/>
        <v>35413.7592739471</v>
      </c>
      <c r="V153" s="28">
        <f t="shared" si="87"/>
        <v>24517.215547485113</v>
      </c>
      <c r="W153" s="43"/>
      <c r="X153" s="19"/>
      <c r="Y153" s="42">
        <f t="shared" si="89"/>
        <v>0</v>
      </c>
      <c r="Z153" s="42">
        <f t="shared" si="89"/>
        <v>0</v>
      </c>
    </row>
    <row r="154" spans="1:26" hidden="1" outlineLevel="1" x14ac:dyDescent="0.25">
      <c r="A154" s="18"/>
      <c r="B154" s="38">
        <f t="shared" si="88"/>
        <v>17</v>
      </c>
      <c r="C154" s="54">
        <f t="shared" si="81"/>
        <v>112.13698845319507</v>
      </c>
      <c r="D154" s="33">
        <f>C154*VLOOKUP($A$138,Ταρίφες!$A$6:$G$23,$K$6,FALSE)*(1+$F$3)^(B154-1)</f>
        <v>57189.864111129486</v>
      </c>
      <c r="E154" s="33">
        <f>C154*VLOOKUP($A$138,Ταρίφες!$A$6:$G$23,$K$7,FALSE)*(1+$F$3)^(B154-1)</f>
        <v>42612.055612214128</v>
      </c>
      <c r="F154" s="46">
        <f t="shared" si="77"/>
        <v>-2745.5714101812241</v>
      </c>
      <c r="G154" s="47">
        <f t="shared" si="78"/>
        <v>-1098.2285640724897</v>
      </c>
      <c r="H154" s="47">
        <f t="shared" si="79"/>
        <v>-3843.7999742537136</v>
      </c>
      <c r="I154" s="46">
        <f t="shared" si="80"/>
        <v>-6177.5356729077539</v>
      </c>
      <c r="J154" s="47">
        <f t="shared" si="82"/>
        <v>-10480</v>
      </c>
      <c r="K154" s="47">
        <f t="shared" si="83"/>
        <v>-8539.6294073257195</v>
      </c>
      <c r="L154" s="47">
        <f t="shared" si="84"/>
        <v>-4749.3991976077259</v>
      </c>
      <c r="M154" s="47">
        <f t="shared" si="85"/>
        <v>34785.09908238858</v>
      </c>
      <c r="N154" s="47">
        <f t="shared" si="86"/>
        <v>23997.520793191219</v>
      </c>
      <c r="O154" s="34"/>
      <c r="P154" s="35"/>
      <c r="Q154" s="35"/>
      <c r="R154" s="33"/>
      <c r="S154" s="43"/>
      <c r="T154" s="19"/>
      <c r="U154" s="27">
        <f t="shared" si="87"/>
        <v>34785.09908238858</v>
      </c>
      <c r="V154" s="28">
        <f t="shared" si="87"/>
        <v>23997.520793191219</v>
      </c>
      <c r="W154" s="43"/>
      <c r="X154" s="19"/>
      <c r="Y154" s="42">
        <f t="shared" si="89"/>
        <v>0</v>
      </c>
      <c r="Z154" s="42">
        <f t="shared" si="89"/>
        <v>0</v>
      </c>
    </row>
    <row r="155" spans="1:26" hidden="1" outlineLevel="1" x14ac:dyDescent="0.25">
      <c r="A155" s="18"/>
      <c r="B155" s="38">
        <f t="shared" si="88"/>
        <v>18</v>
      </c>
      <c r="C155" s="54">
        <f t="shared" si="81"/>
        <v>111.01561856866311</v>
      </c>
      <c r="D155" s="33">
        <f>C155*VLOOKUP($A$138,Ταρίφες!$A$6:$G$23,$K$6,FALSE)*(1+$F$3)^(B155-1)</f>
        <v>56617.965470018185</v>
      </c>
      <c r="E155" s="33">
        <f>C155*VLOOKUP($A$138,Ταρίφες!$A$6:$G$23,$K$7,FALSE)*(1+$F$3)^(B155-1)</f>
        <v>42185.935056091985</v>
      </c>
      <c r="F155" s="46">
        <f t="shared" si="77"/>
        <v>-2800.4828383848489</v>
      </c>
      <c r="G155" s="47">
        <f t="shared" si="78"/>
        <v>-1120.1931353539396</v>
      </c>
      <c r="H155" s="47">
        <f t="shared" si="79"/>
        <v>-3920.6759737387883</v>
      </c>
      <c r="I155" s="46">
        <f t="shared" si="80"/>
        <v>-6301.0863863659097</v>
      </c>
      <c r="J155" s="47">
        <f t="shared" si="82"/>
        <v>-10480</v>
      </c>
      <c r="K155" s="47">
        <f t="shared" si="83"/>
        <v>-8318.8370554054218</v>
      </c>
      <c r="L155" s="47">
        <f t="shared" si="84"/>
        <v>-4566.5091477846099</v>
      </c>
      <c r="M155" s="47">
        <f t="shared" si="85"/>
        <v>34156.69008076928</v>
      </c>
      <c r="N155" s="47">
        <f t="shared" si="86"/>
        <v>23476.987574463888</v>
      </c>
      <c r="O155" s="34"/>
      <c r="P155" s="35"/>
      <c r="Q155" s="35"/>
      <c r="R155" s="33"/>
      <c r="S155" s="43"/>
      <c r="T155" s="19"/>
      <c r="U155" s="27">
        <f t="shared" si="87"/>
        <v>34156.69008076928</v>
      </c>
      <c r="V155" s="28">
        <f t="shared" si="87"/>
        <v>23476.987574463888</v>
      </c>
      <c r="W155" s="43"/>
      <c r="X155" s="19"/>
      <c r="Y155" s="42">
        <f t="shared" si="89"/>
        <v>0</v>
      </c>
      <c r="Z155" s="42">
        <f t="shared" si="89"/>
        <v>0</v>
      </c>
    </row>
    <row r="156" spans="1:26" hidden="1" outlineLevel="1" x14ac:dyDescent="0.25">
      <c r="A156" s="18"/>
      <c r="B156" s="38">
        <f t="shared" si="88"/>
        <v>19</v>
      </c>
      <c r="C156" s="54">
        <f t="shared" si="81"/>
        <v>109.90546238297648</v>
      </c>
      <c r="D156" s="33">
        <f>C156*VLOOKUP($A$138,Ταρίφες!$A$6:$G$23,$K$6,FALSE)*(1+$F$3)^(B156-1)</f>
        <v>56051.785815318006</v>
      </c>
      <c r="E156" s="33">
        <f>C156*VLOOKUP($A$138,Ταρίφες!$A$6:$G$23,$K$7,FALSE)*(1+$F$3)^(B156-1)</f>
        <v>41764.075705531061</v>
      </c>
      <c r="F156" s="46">
        <f t="shared" si="77"/>
        <v>-2856.4924951525454</v>
      </c>
      <c r="G156" s="47">
        <f t="shared" si="78"/>
        <v>-1142.5969980610182</v>
      </c>
      <c r="H156" s="47">
        <f t="shared" si="79"/>
        <v>-3999.0894932135634</v>
      </c>
      <c r="I156" s="46">
        <f t="shared" si="80"/>
        <v>-6427.1081140932274</v>
      </c>
      <c r="J156" s="47">
        <f t="shared" si="82"/>
        <v>-10480</v>
      </c>
      <c r="K156" s="47">
        <f t="shared" si="83"/>
        <v>-8098.0896658473894</v>
      </c>
      <c r="L156" s="47">
        <f t="shared" si="84"/>
        <v>-4383.2850373027832</v>
      </c>
      <c r="M156" s="47">
        <f t="shared" si="85"/>
        <v>33528.409048950263</v>
      </c>
      <c r="N156" s="47">
        <f t="shared" si="86"/>
        <v>22955.503567707921</v>
      </c>
      <c r="O156" s="34"/>
      <c r="P156" s="35"/>
      <c r="Q156" s="35"/>
      <c r="R156" s="33"/>
      <c r="S156" s="43"/>
      <c r="T156" s="19"/>
      <c r="U156" s="27">
        <f t="shared" si="87"/>
        <v>33528.409048950263</v>
      </c>
      <c r="V156" s="28">
        <f t="shared" si="87"/>
        <v>22955.503567707921</v>
      </c>
      <c r="W156" s="43"/>
      <c r="X156" s="19"/>
      <c r="Y156" s="42">
        <f t="shared" si="89"/>
        <v>0</v>
      </c>
      <c r="Z156" s="42">
        <f t="shared" si="89"/>
        <v>0</v>
      </c>
    </row>
    <row r="157" spans="1:26" hidden="1" outlineLevel="1" x14ac:dyDescent="0.25">
      <c r="A157" s="18"/>
      <c r="B157" s="38">
        <f>B156+1</f>
        <v>20</v>
      </c>
      <c r="C157" s="54">
        <f>C156*(1-$F$2)</f>
        <v>108.80640775914671</v>
      </c>
      <c r="D157" s="33">
        <f>C157*VLOOKUP($A$138,Ταρίφες!$A$6:$G$23,$K$6,FALSE)*(1+$F$3)^(B157-1)</f>
        <v>55491.267957164819</v>
      </c>
      <c r="E157" s="33">
        <f>C157*VLOOKUP($A$138,Ταρίφες!$A$6:$G$23,$K$7,FALSE)*(1+$F$3)^(B157-1)</f>
        <v>41346.434948475748</v>
      </c>
      <c r="F157" s="46">
        <f t="shared" si="77"/>
        <v>-2913.6223450555963</v>
      </c>
      <c r="G157" s="47">
        <f t="shared" si="78"/>
        <v>-1165.4489380222385</v>
      </c>
      <c r="H157" s="47">
        <f>-$K$4*(1+$F$4)^(B157-$B$12)</f>
        <v>-4079.0712830778348</v>
      </c>
      <c r="I157" s="46">
        <f>-(4500*(1+$F$4)^(B157-$B$12))</f>
        <v>-6555.6502763750914</v>
      </c>
      <c r="J157" s="47">
        <f t="shared" si="82"/>
        <v>-10480</v>
      </c>
      <c r="K157" s="47">
        <f>-(D157+SUM(F157:J157))*$F$5</f>
        <v>-7877.3435298048553</v>
      </c>
      <c r="L157" s="47">
        <f>-(E157+SUM(F157:J157))*$F$5</f>
        <v>-4199.6869475456961</v>
      </c>
      <c r="M157" s="47">
        <f>D157+SUM(F157:I157)+K157</f>
        <v>32900.1315848292</v>
      </c>
      <c r="N157" s="47">
        <f>E157+SUM(F157:I157)+L157</f>
        <v>22432.955158399291</v>
      </c>
      <c r="O157" s="34"/>
      <c r="P157" s="35"/>
      <c r="Q157" s="35"/>
      <c r="R157" s="33"/>
      <c r="S157" s="43"/>
      <c r="T157" s="19"/>
      <c r="U157" s="27">
        <f>M157</f>
        <v>32900.1315848292</v>
      </c>
      <c r="V157" s="28">
        <f>N157</f>
        <v>22432.955158399291</v>
      </c>
      <c r="W157" s="43"/>
      <c r="X157" s="19"/>
      <c r="Y157" s="42">
        <f t="shared" si="89"/>
        <v>0</v>
      </c>
      <c r="Z157" s="42">
        <f t="shared" si="89"/>
        <v>0</v>
      </c>
    </row>
    <row r="158" spans="1:26" s="40" customFormat="1" hidden="1" outlineLevel="1" x14ac:dyDescent="0.25">
      <c r="O158" s="17"/>
      <c r="P158" s="25"/>
      <c r="Q158" s="25"/>
      <c r="R158" s="22"/>
      <c r="S158" s="52"/>
      <c r="T158" s="44"/>
      <c r="U158" s="74">
        <f>O159</f>
        <v>-225250</v>
      </c>
      <c r="V158" s="74">
        <f>R159</f>
        <v>-155925.38520097733</v>
      </c>
      <c r="W158" s="52"/>
      <c r="X158" s="44"/>
      <c r="Y158" s="42">
        <f t="shared" si="89"/>
        <v>0</v>
      </c>
      <c r="Z158" s="42">
        <f t="shared" si="89"/>
        <v>0</v>
      </c>
    </row>
    <row r="159" spans="1:26" collapsed="1" x14ac:dyDescent="0.25">
      <c r="A159" s="32" t="str">
        <f>Ταρίφες!A17</f>
        <v>Δ Τριμ. 2011</v>
      </c>
      <c r="B159" s="38">
        <f>1</f>
        <v>1</v>
      </c>
      <c r="C159" s="54">
        <f>$F$8*$K$2/1000</f>
        <v>131.69999999999999</v>
      </c>
      <c r="D159" s="33">
        <f>C159*VLOOKUP($A$159,Ταρίφες!$A$6:$G$23,$K$6,FALSE)*(1+$F$3)^(B159-1)</f>
        <v>67167</v>
      </c>
      <c r="E159" s="33">
        <f>C159*VLOOKUP($A$159,Ταρίφες!$A$6:$G$23,$K$7,FALSE)*(1+$F$3)^(B159-1)</f>
        <v>47411.999999999993</v>
      </c>
      <c r="F159" s="46">
        <f t="shared" ref="F159:F178" si="90">-($K$5*(1+$F$4)^(B159-$B$12))</f>
        <v>-2000</v>
      </c>
      <c r="G159" s="47">
        <f t="shared" ref="G159:G178" si="91">-$K$2*10*(1+$F$4)^(B159-$B$12)</f>
        <v>-800</v>
      </c>
      <c r="H159" s="47">
        <f t="shared" ref="H159:H177" si="92">-$K$4*(1+$F$4)^(B159-$B$12)</f>
        <v>-2800</v>
      </c>
      <c r="I159" s="46">
        <f t="shared" ref="I159:I177" si="93">-(4500*(1+$F$4)^(B159-$B$12))</f>
        <v>-4500</v>
      </c>
      <c r="J159" s="47">
        <f>$O$159*4%</f>
        <v>-9010</v>
      </c>
      <c r="K159" s="47">
        <f>-(D159+SUM(F159:J159))*$F$5</f>
        <v>-12494.82</v>
      </c>
      <c r="L159" s="47">
        <f>-(E159+SUM(F159:J159))*$F$5</f>
        <v>-7358.5199999999986</v>
      </c>
      <c r="M159" s="47">
        <f>D159+SUM(F159:I159)+K159</f>
        <v>44572.18</v>
      </c>
      <c r="N159" s="47">
        <f>E159+SUM(F159:I159)+L159</f>
        <v>29953.479999999996</v>
      </c>
      <c r="O159" s="35">
        <f>-VLOOKUP(A159,'Κόστος Κατασκευής'!$A$4:$Q$17,$K$8,FALSE)</f>
        <v>-225250</v>
      </c>
      <c r="P159" s="36">
        <f t="shared" ref="P159:P178" si="94">-O159*0.4</f>
        <v>90100</v>
      </c>
      <c r="Q159" s="36">
        <f>Q138*15/16</f>
        <v>-20775.385200977329</v>
      </c>
      <c r="R159" s="37">
        <f>SUM(O159:Q159)</f>
        <v>-155925.38520097733</v>
      </c>
      <c r="S159" s="42">
        <f>IRR(U158:U178)</f>
        <v>0.17703087274820617</v>
      </c>
      <c r="T159" s="42">
        <f>IRR(V158:V178)</f>
        <v>0.16818773402925724</v>
      </c>
      <c r="U159" s="27">
        <f>M159</f>
        <v>44572.18</v>
      </c>
      <c r="V159" s="28">
        <f>N159</f>
        <v>29953.479999999996</v>
      </c>
      <c r="W159" s="42">
        <f>'IRR ΔΣ Ισχύον'!S159</f>
        <v>0.17486604568760522</v>
      </c>
      <c r="X159" s="42">
        <f>'IRR ΔΣ Ισχύον'!T159</f>
        <v>0.16128974795285345</v>
      </c>
      <c r="Y159" s="42">
        <f t="shared" si="89"/>
        <v>2.164827060600949E-3</v>
      </c>
      <c r="Z159" s="42">
        <f t="shared" si="89"/>
        <v>6.8979860764037948E-3</v>
      </c>
    </row>
    <row r="160" spans="1:26" hidden="1" outlineLevel="1" x14ac:dyDescent="0.25">
      <c r="A160" s="18"/>
      <c r="B160" s="38">
        <f>B159+1</f>
        <v>2</v>
      </c>
      <c r="C160" s="54">
        <f t="shared" ref="C160:C177" si="95">C159*(1-$F$2)</f>
        <v>130.38299999999998</v>
      </c>
      <c r="D160" s="33">
        <f>C160*VLOOKUP($A$159,Ταρίφες!$A$6:$G$23,$K$6,FALSE)*(1+$F$3)^(B160-1)</f>
        <v>66495.329999999987</v>
      </c>
      <c r="E160" s="33">
        <f>C160*VLOOKUP($A$159,Ταρίφες!$A$6:$G$23,$K$7,FALSE)*(1+$F$3)^(B160-1)</f>
        <v>46937.87999999999</v>
      </c>
      <c r="F160" s="46">
        <f t="shared" si="90"/>
        <v>-2040</v>
      </c>
      <c r="G160" s="47">
        <f t="shared" si="91"/>
        <v>-816</v>
      </c>
      <c r="H160" s="47">
        <f t="shared" si="92"/>
        <v>-2856</v>
      </c>
      <c r="I160" s="46">
        <f t="shared" si="93"/>
        <v>-4590</v>
      </c>
      <c r="J160" s="47">
        <f t="shared" ref="J160:J178" si="96">$O$159*4%</f>
        <v>-9010</v>
      </c>
      <c r="K160" s="47">
        <f t="shared" ref="K160:K177" si="97">-(D160+SUM(F160:J160))*$F$5</f>
        <v>-12267.665799999997</v>
      </c>
      <c r="L160" s="47">
        <f t="shared" ref="L160:L177" si="98">-(E160+SUM(F160:J160))*$F$5</f>
        <v>-7182.728799999998</v>
      </c>
      <c r="M160" s="47">
        <f t="shared" ref="M160:M177" si="99">D160+SUM(F160:I160)+K160</f>
        <v>43925.664199999992</v>
      </c>
      <c r="N160" s="47">
        <f t="shared" ref="N160:N177" si="100">E160+SUM(F160:I160)+L160</f>
        <v>29453.151199999993</v>
      </c>
      <c r="O160" s="34"/>
      <c r="P160" s="36">
        <f t="shared" si="94"/>
        <v>0</v>
      </c>
      <c r="Q160" s="35"/>
      <c r="R160" s="33"/>
      <c r="S160" s="43"/>
      <c r="T160" s="19"/>
      <c r="U160" s="27">
        <f t="shared" ref="U160:V177" si="101">M160</f>
        <v>43925.664199999992</v>
      </c>
      <c r="V160" s="28">
        <f t="shared" si="101"/>
        <v>29453.151199999993</v>
      </c>
      <c r="W160" s="43"/>
      <c r="X160" s="19"/>
      <c r="Y160" s="42">
        <f t="shared" si="89"/>
        <v>0</v>
      </c>
      <c r="Z160" s="42">
        <f t="shared" si="89"/>
        <v>0</v>
      </c>
    </row>
    <row r="161" spans="1:26" hidden="1" outlineLevel="1" x14ac:dyDescent="0.25">
      <c r="A161" s="18"/>
      <c r="B161" s="38">
        <f t="shared" ref="B161:B177" si="102">B160+1</f>
        <v>3</v>
      </c>
      <c r="C161" s="54">
        <f t="shared" si="95"/>
        <v>129.07916999999998</v>
      </c>
      <c r="D161" s="33">
        <f>C161*VLOOKUP($A$159,Ταρίφες!$A$6:$G$23,$K$6,FALSE)*(1+$F$3)^(B161-1)</f>
        <v>65830.376699999993</v>
      </c>
      <c r="E161" s="33">
        <f>C161*VLOOKUP($A$159,Ταρίφες!$A$6:$G$23,$K$7,FALSE)*(1+$F$3)^(B161-1)</f>
        <v>46468.501199999992</v>
      </c>
      <c r="F161" s="46">
        <f t="shared" si="90"/>
        <v>-2080.8000000000002</v>
      </c>
      <c r="G161" s="47">
        <f t="shared" si="91"/>
        <v>-832.31999999999994</v>
      </c>
      <c r="H161" s="47">
        <f t="shared" si="92"/>
        <v>-2913.12</v>
      </c>
      <c r="I161" s="46">
        <f t="shared" si="93"/>
        <v>-4681.8</v>
      </c>
      <c r="J161" s="47">
        <f t="shared" si="96"/>
        <v>-9010</v>
      </c>
      <c r="K161" s="47">
        <f t="shared" si="97"/>
        <v>-12041.207541999998</v>
      </c>
      <c r="L161" s="47">
        <f t="shared" si="98"/>
        <v>-7007.1199119999974</v>
      </c>
      <c r="M161" s="47">
        <f t="shared" si="99"/>
        <v>43281.129157999996</v>
      </c>
      <c r="N161" s="47">
        <f t="shared" si="100"/>
        <v>28953.341287999992</v>
      </c>
      <c r="O161" s="34"/>
      <c r="P161" s="36">
        <f t="shared" si="94"/>
        <v>0</v>
      </c>
      <c r="Q161" s="35"/>
      <c r="R161" s="33"/>
      <c r="S161" s="43"/>
      <c r="T161" s="19"/>
      <c r="U161" s="27">
        <f t="shared" si="101"/>
        <v>43281.129157999996</v>
      </c>
      <c r="V161" s="28">
        <f t="shared" si="101"/>
        <v>28953.341287999992</v>
      </c>
      <c r="W161" s="43"/>
      <c r="X161" s="19"/>
      <c r="Y161" s="42">
        <f t="shared" si="89"/>
        <v>0</v>
      </c>
      <c r="Z161" s="42">
        <f t="shared" si="89"/>
        <v>0</v>
      </c>
    </row>
    <row r="162" spans="1:26" hidden="1" outlineLevel="1" x14ac:dyDescent="0.25">
      <c r="A162" s="18"/>
      <c r="B162" s="38">
        <f t="shared" si="102"/>
        <v>4</v>
      </c>
      <c r="C162" s="54">
        <f t="shared" si="95"/>
        <v>127.78837829999998</v>
      </c>
      <c r="D162" s="33">
        <f>C162*VLOOKUP($A$159,Ταρίφες!$A$6:$G$23,$K$6,FALSE)*(1+$F$3)^(B162-1)</f>
        <v>65172.072932999989</v>
      </c>
      <c r="E162" s="33">
        <f>C162*VLOOKUP($A$159,Ταρίφες!$A$6:$G$23,$K$7,FALSE)*(1+$F$3)^(B162-1)</f>
        <v>46003.81618799999</v>
      </c>
      <c r="F162" s="46">
        <f t="shared" si="90"/>
        <v>-2122.4159999999997</v>
      </c>
      <c r="G162" s="47">
        <f t="shared" si="91"/>
        <v>-848.96639999999991</v>
      </c>
      <c r="H162" s="47">
        <f t="shared" si="92"/>
        <v>-2971.3824</v>
      </c>
      <c r="I162" s="46">
        <f t="shared" si="93"/>
        <v>-4775.4359999999997</v>
      </c>
      <c r="J162" s="47">
        <f t="shared" si="96"/>
        <v>-9010</v>
      </c>
      <c r="K162" s="47">
        <f t="shared" si="97"/>
        <v>-11815.406754579997</v>
      </c>
      <c r="L162" s="47">
        <f t="shared" si="98"/>
        <v>-6831.6600008799978</v>
      </c>
      <c r="M162" s="47">
        <f t="shared" si="99"/>
        <v>42638.465378419991</v>
      </c>
      <c r="N162" s="47">
        <f t="shared" si="100"/>
        <v>28453.955387119993</v>
      </c>
      <c r="O162" s="34"/>
      <c r="P162" s="36">
        <f t="shared" si="94"/>
        <v>0</v>
      </c>
      <c r="Q162" s="35"/>
      <c r="R162" s="33"/>
      <c r="S162" s="43"/>
      <c r="T162" s="19"/>
      <c r="U162" s="27">
        <f t="shared" si="101"/>
        <v>42638.465378419991</v>
      </c>
      <c r="V162" s="28">
        <f t="shared" si="101"/>
        <v>28453.955387119993</v>
      </c>
      <c r="W162" s="43"/>
      <c r="X162" s="19"/>
      <c r="Y162" s="42">
        <f t="shared" si="89"/>
        <v>0</v>
      </c>
      <c r="Z162" s="42">
        <f t="shared" si="89"/>
        <v>0</v>
      </c>
    </row>
    <row r="163" spans="1:26" hidden="1" outlineLevel="1" x14ac:dyDescent="0.25">
      <c r="A163" s="18"/>
      <c r="B163" s="38">
        <f t="shared" si="102"/>
        <v>5</v>
      </c>
      <c r="C163" s="54">
        <f t="shared" si="95"/>
        <v>126.51049451699997</v>
      </c>
      <c r="D163" s="33">
        <f>C163*VLOOKUP($A$159,Ταρίφες!$A$6:$G$23,$K$6,FALSE)*(1+$F$3)^(B163-1)</f>
        <v>64520.352203669987</v>
      </c>
      <c r="E163" s="33">
        <f>C163*VLOOKUP($A$159,Ταρίφες!$A$6:$G$23,$K$7,FALSE)*(1+$F$3)^(B163-1)</f>
        <v>45543.778026119988</v>
      </c>
      <c r="F163" s="46">
        <f t="shared" si="90"/>
        <v>-2164.8643200000001</v>
      </c>
      <c r="G163" s="47">
        <f t="shared" si="91"/>
        <v>-865.94572800000003</v>
      </c>
      <c r="H163" s="47">
        <f t="shared" si="92"/>
        <v>-3030.8100479999998</v>
      </c>
      <c r="I163" s="46">
        <f t="shared" si="93"/>
        <v>-4870.9447199999995</v>
      </c>
      <c r="J163" s="47">
        <f t="shared" si="96"/>
        <v>-9010</v>
      </c>
      <c r="K163" s="47">
        <f t="shared" si="97"/>
        <v>-11590.224720794198</v>
      </c>
      <c r="L163" s="47">
        <f t="shared" si="98"/>
        <v>-6656.3154346311976</v>
      </c>
      <c r="M163" s="47">
        <f t="shared" si="99"/>
        <v>41997.56266687579</v>
      </c>
      <c r="N163" s="47">
        <f t="shared" si="100"/>
        <v>27954.897775488793</v>
      </c>
      <c r="O163" s="34"/>
      <c r="P163" s="36">
        <f t="shared" si="94"/>
        <v>0</v>
      </c>
      <c r="Q163" s="35"/>
      <c r="R163" s="33"/>
      <c r="S163" s="43"/>
      <c r="T163" s="19"/>
      <c r="U163" s="27">
        <f t="shared" si="101"/>
        <v>41997.56266687579</v>
      </c>
      <c r="V163" s="28">
        <f t="shared" si="101"/>
        <v>27954.897775488793</v>
      </c>
      <c r="W163" s="43"/>
      <c r="X163" s="19"/>
      <c r="Y163" s="42">
        <f t="shared" si="89"/>
        <v>0</v>
      </c>
      <c r="Z163" s="42">
        <f t="shared" si="89"/>
        <v>0</v>
      </c>
    </row>
    <row r="164" spans="1:26" hidden="1" outlineLevel="1" x14ac:dyDescent="0.25">
      <c r="A164" s="18"/>
      <c r="B164" s="38">
        <f t="shared" si="102"/>
        <v>6</v>
      </c>
      <c r="C164" s="54">
        <f t="shared" si="95"/>
        <v>125.24538957182997</v>
      </c>
      <c r="D164" s="33">
        <f>C164*VLOOKUP($A$159,Ταρίφες!$A$6:$G$23,$K$6,FALSE)*(1+$F$3)^(B164-1)</f>
        <v>63875.148681633284</v>
      </c>
      <c r="E164" s="33">
        <f>C164*VLOOKUP($A$159,Ταρίφες!$A$6:$G$23,$K$7,FALSE)*(1+$F$3)^(B164-1)</f>
        <v>45088.340245858788</v>
      </c>
      <c r="F164" s="46">
        <f t="shared" si="90"/>
        <v>-2208.1616064</v>
      </c>
      <c r="G164" s="47">
        <f t="shared" si="91"/>
        <v>-883.26464255999997</v>
      </c>
      <c r="H164" s="47">
        <f t="shared" si="92"/>
        <v>-3091.4262489600001</v>
      </c>
      <c r="I164" s="46">
        <f t="shared" si="93"/>
        <v>-4968.3636144000002</v>
      </c>
      <c r="J164" s="47">
        <f t="shared" si="96"/>
        <v>-9010</v>
      </c>
      <c r="K164" s="47">
        <f t="shared" si="97"/>
        <v>-11365.622468021455</v>
      </c>
      <c r="L164" s="47">
        <f t="shared" si="98"/>
        <v>-6481.0522747200857</v>
      </c>
      <c r="M164" s="47">
        <f t="shared" si="99"/>
        <v>41358.310101291834</v>
      </c>
      <c r="N164" s="47">
        <f t="shared" si="100"/>
        <v>27456.071858818705</v>
      </c>
      <c r="O164" s="34"/>
      <c r="P164" s="36">
        <f t="shared" si="94"/>
        <v>0</v>
      </c>
      <c r="Q164" s="35"/>
      <c r="R164" s="33"/>
      <c r="S164" s="43"/>
      <c r="T164" s="19"/>
      <c r="U164" s="27">
        <f t="shared" si="101"/>
        <v>41358.310101291834</v>
      </c>
      <c r="V164" s="28">
        <f t="shared" si="101"/>
        <v>27456.071858818705</v>
      </c>
      <c r="W164" s="43"/>
      <c r="X164" s="19"/>
      <c r="Y164" s="42">
        <f t="shared" si="89"/>
        <v>0</v>
      </c>
      <c r="Z164" s="42">
        <f t="shared" si="89"/>
        <v>0</v>
      </c>
    </row>
    <row r="165" spans="1:26" hidden="1" outlineLevel="1" x14ac:dyDescent="0.25">
      <c r="A165" s="18"/>
      <c r="B165" s="38">
        <f t="shared" si="102"/>
        <v>7</v>
      </c>
      <c r="C165" s="54">
        <f t="shared" si="95"/>
        <v>123.99293567611167</v>
      </c>
      <c r="D165" s="33">
        <f>C165*VLOOKUP($A$159,Ταρίφες!$A$6:$G$23,$K$6,FALSE)*(1+$F$3)^(B165-1)</f>
        <v>63236.397194816949</v>
      </c>
      <c r="E165" s="33">
        <f>C165*VLOOKUP($A$159,Ταρίφες!$A$6:$G$23,$K$7,FALSE)*(1+$F$3)^(B165-1)</f>
        <v>44637.456843400199</v>
      </c>
      <c r="F165" s="46">
        <f t="shared" si="90"/>
        <v>-2252.3248385280003</v>
      </c>
      <c r="G165" s="47">
        <f t="shared" si="91"/>
        <v>-900.92993541120006</v>
      </c>
      <c r="H165" s="47">
        <f t="shared" si="92"/>
        <v>-3153.2547739392003</v>
      </c>
      <c r="I165" s="46">
        <f t="shared" si="93"/>
        <v>-5067.7308866880003</v>
      </c>
      <c r="J165" s="47">
        <f t="shared" si="96"/>
        <v>-9010</v>
      </c>
      <c r="K165" s="47">
        <f t="shared" si="97"/>
        <v>-11141.560757665144</v>
      </c>
      <c r="L165" s="47">
        <f t="shared" si="98"/>
        <v>-6305.8362662967884</v>
      </c>
      <c r="M165" s="47">
        <f t="shared" si="99"/>
        <v>40720.596002585407</v>
      </c>
      <c r="N165" s="47">
        <f t="shared" si="100"/>
        <v>26957.380142537015</v>
      </c>
      <c r="O165" s="34"/>
      <c r="P165" s="36">
        <f t="shared" si="94"/>
        <v>0</v>
      </c>
      <c r="Q165" s="35"/>
      <c r="R165" s="33"/>
      <c r="S165" s="43"/>
      <c r="T165" s="19"/>
      <c r="U165" s="27">
        <f t="shared" si="101"/>
        <v>40720.596002585407</v>
      </c>
      <c r="V165" s="28">
        <f t="shared" si="101"/>
        <v>26957.380142537015</v>
      </c>
      <c r="W165" s="43"/>
      <c r="X165" s="19"/>
      <c r="Y165" s="42">
        <f t="shared" si="89"/>
        <v>0</v>
      </c>
      <c r="Z165" s="42">
        <f t="shared" si="89"/>
        <v>0</v>
      </c>
    </row>
    <row r="166" spans="1:26" hidden="1" outlineLevel="1" x14ac:dyDescent="0.25">
      <c r="A166" s="18"/>
      <c r="B166" s="38">
        <f t="shared" si="102"/>
        <v>8</v>
      </c>
      <c r="C166" s="54">
        <f t="shared" si="95"/>
        <v>122.75300631935055</v>
      </c>
      <c r="D166" s="33">
        <f>C166*VLOOKUP($A$159,Ταρίφες!$A$6:$G$23,$K$6,FALSE)*(1+$F$3)^(B166-1)</f>
        <v>62604.033222868777</v>
      </c>
      <c r="E166" s="33">
        <f>C166*VLOOKUP($A$159,Ταρίφες!$A$6:$G$23,$K$7,FALSE)*(1+$F$3)^(B166-1)</f>
        <v>44191.082274966197</v>
      </c>
      <c r="F166" s="46">
        <f t="shared" si="90"/>
        <v>-2297.3713352985596</v>
      </c>
      <c r="G166" s="47">
        <f t="shared" si="91"/>
        <v>-918.94853411942381</v>
      </c>
      <c r="H166" s="47">
        <f t="shared" si="92"/>
        <v>-3216.3198694179837</v>
      </c>
      <c r="I166" s="46">
        <f t="shared" si="93"/>
        <v>-5169.0855044217587</v>
      </c>
      <c r="J166" s="47">
        <f t="shared" si="96"/>
        <v>-9010</v>
      </c>
      <c r="K166" s="47">
        <f t="shared" si="97"/>
        <v>-10918.000074698875</v>
      </c>
      <c r="L166" s="47">
        <f t="shared" si="98"/>
        <v>-6130.6328282442028</v>
      </c>
      <c r="M166" s="47">
        <f t="shared" si="99"/>
        <v>40084.307904912181</v>
      </c>
      <c r="N166" s="47">
        <f t="shared" si="100"/>
        <v>26458.72420346427</v>
      </c>
      <c r="O166" s="34"/>
      <c r="P166" s="36">
        <f t="shared" si="94"/>
        <v>0</v>
      </c>
      <c r="Q166" s="35"/>
      <c r="R166" s="33"/>
      <c r="S166" s="43"/>
      <c r="T166" s="19"/>
      <c r="U166" s="27">
        <f t="shared" si="101"/>
        <v>40084.307904912181</v>
      </c>
      <c r="V166" s="28">
        <f t="shared" si="101"/>
        <v>26458.72420346427</v>
      </c>
      <c r="W166" s="43"/>
      <c r="X166" s="19"/>
      <c r="Y166" s="42">
        <f t="shared" si="89"/>
        <v>0</v>
      </c>
      <c r="Z166" s="42">
        <f t="shared" si="89"/>
        <v>0</v>
      </c>
    </row>
    <row r="167" spans="1:26" hidden="1" outlineLevel="1" x14ac:dyDescent="0.25">
      <c r="A167" s="18"/>
      <c r="B167" s="38">
        <f t="shared" si="102"/>
        <v>9</v>
      </c>
      <c r="C167" s="54">
        <f t="shared" si="95"/>
        <v>121.52547625615703</v>
      </c>
      <c r="D167" s="33">
        <f>C167*VLOOKUP($A$159,Ταρίφες!$A$6:$G$23,$K$6,FALSE)*(1+$F$3)^(B167-1)</f>
        <v>61977.992890640089</v>
      </c>
      <c r="E167" s="33">
        <f>C167*VLOOKUP($A$159,Ταρίφες!$A$6:$G$23,$K$7,FALSE)*(1+$F$3)^(B167-1)</f>
        <v>43749.171452216535</v>
      </c>
      <c r="F167" s="46">
        <f t="shared" si="90"/>
        <v>-2343.318762004531</v>
      </c>
      <c r="G167" s="47">
        <f t="shared" si="91"/>
        <v>-937.32750480181244</v>
      </c>
      <c r="H167" s="47">
        <f t="shared" si="92"/>
        <v>-3280.6462668063436</v>
      </c>
      <c r="I167" s="46">
        <f t="shared" si="93"/>
        <v>-5272.4672145101949</v>
      </c>
      <c r="J167" s="47">
        <f t="shared" si="96"/>
        <v>-9010</v>
      </c>
      <c r="K167" s="47">
        <f t="shared" si="97"/>
        <v>-10694.900617054474</v>
      </c>
      <c r="L167" s="47">
        <f t="shared" si="98"/>
        <v>-5955.4070430643505</v>
      </c>
      <c r="M167" s="47">
        <f t="shared" si="99"/>
        <v>39449.332525462734</v>
      </c>
      <c r="N167" s="47">
        <f t="shared" si="100"/>
        <v>25960.004661029303</v>
      </c>
      <c r="O167" s="34"/>
      <c r="P167" s="36">
        <f t="shared" si="94"/>
        <v>0</v>
      </c>
      <c r="Q167" s="35"/>
      <c r="R167" s="33"/>
      <c r="S167" s="43"/>
      <c r="T167" s="19"/>
      <c r="U167" s="27">
        <f t="shared" si="101"/>
        <v>39449.332525462734</v>
      </c>
      <c r="V167" s="28">
        <f t="shared" si="101"/>
        <v>25960.004661029303</v>
      </c>
      <c r="W167" s="43"/>
      <c r="X167" s="19"/>
      <c r="Y167" s="42">
        <f t="shared" si="89"/>
        <v>0</v>
      </c>
      <c r="Z167" s="42">
        <f t="shared" si="89"/>
        <v>0</v>
      </c>
    </row>
    <row r="168" spans="1:26" hidden="1" outlineLevel="1" x14ac:dyDescent="0.25">
      <c r="A168" s="18"/>
      <c r="B168" s="38">
        <f t="shared" si="102"/>
        <v>10</v>
      </c>
      <c r="C168" s="54">
        <f t="shared" si="95"/>
        <v>120.31022149359546</v>
      </c>
      <c r="D168" s="33">
        <f>C168*VLOOKUP($A$159,Ταρίφες!$A$6:$G$23,$K$6,FALSE)*(1+$F$3)^(B168-1)</f>
        <v>61358.212961733683</v>
      </c>
      <c r="E168" s="33">
        <f>C168*VLOOKUP($A$159,Ταρίφες!$A$6:$G$23,$K$7,FALSE)*(1+$F$3)^(B168-1)</f>
        <v>43311.679737694365</v>
      </c>
      <c r="F168" s="46">
        <f t="shared" si="90"/>
        <v>-2390.1851372446217</v>
      </c>
      <c r="G168" s="47">
        <f t="shared" si="91"/>
        <v>-956.07405489784867</v>
      </c>
      <c r="H168" s="47">
        <f t="shared" si="92"/>
        <v>-3346.2591921424705</v>
      </c>
      <c r="I168" s="46">
        <f t="shared" si="93"/>
        <v>-5377.9165588003989</v>
      </c>
      <c r="J168" s="47">
        <f t="shared" si="96"/>
        <v>-9010</v>
      </c>
      <c r="K168" s="47">
        <f t="shared" si="97"/>
        <v>-10472.222284848569</v>
      </c>
      <c r="L168" s="47">
        <f t="shared" si="98"/>
        <v>-5780.1236465983466</v>
      </c>
      <c r="M168" s="47">
        <f t="shared" si="99"/>
        <v>38815.555733799774</v>
      </c>
      <c r="N168" s="47">
        <f t="shared" si="100"/>
        <v>25461.121148010679</v>
      </c>
      <c r="O168" s="34"/>
      <c r="P168" s="36">
        <f t="shared" si="94"/>
        <v>0</v>
      </c>
      <c r="Q168" s="35"/>
      <c r="R168" s="33"/>
      <c r="S168" s="43"/>
      <c r="T168" s="19"/>
      <c r="U168" s="27">
        <f t="shared" si="101"/>
        <v>38815.555733799774</v>
      </c>
      <c r="V168" s="28">
        <f t="shared" si="101"/>
        <v>25461.121148010679</v>
      </c>
      <c r="W168" s="43"/>
      <c r="X168" s="19"/>
      <c r="Y168" s="42">
        <f t="shared" si="89"/>
        <v>0</v>
      </c>
      <c r="Z168" s="42">
        <f t="shared" si="89"/>
        <v>0</v>
      </c>
    </row>
    <row r="169" spans="1:26" hidden="1" outlineLevel="1" x14ac:dyDescent="0.25">
      <c r="A169" s="18"/>
      <c r="B169" s="38">
        <f t="shared" si="102"/>
        <v>11</v>
      </c>
      <c r="C169" s="54">
        <f t="shared" si="95"/>
        <v>119.10711927865951</v>
      </c>
      <c r="D169" s="33">
        <f>C169*VLOOKUP($A$159,Ταρίφες!$A$6:$G$23,$K$6,FALSE)*(1+$F$3)^(B169-1)</f>
        <v>60744.630832116352</v>
      </c>
      <c r="E169" s="33">
        <f>C169*VLOOKUP($A$159,Ταρίφες!$A$6:$G$23,$K$7,FALSE)*(1+$F$3)^(B169-1)</f>
        <v>42878.562940317424</v>
      </c>
      <c r="F169" s="46">
        <f t="shared" si="90"/>
        <v>-2437.9888399895144</v>
      </c>
      <c r="G169" s="47">
        <f t="shared" si="91"/>
        <v>-975.1955359958057</v>
      </c>
      <c r="H169" s="47">
        <f t="shared" si="92"/>
        <v>-3413.18437598532</v>
      </c>
      <c r="I169" s="46">
        <f t="shared" si="93"/>
        <v>-5485.4748899764072</v>
      </c>
      <c r="J169" s="47">
        <f t="shared" si="96"/>
        <v>-9010</v>
      </c>
      <c r="K169" s="47">
        <f t="shared" si="97"/>
        <v>-10249.924669444021</v>
      </c>
      <c r="L169" s="47">
        <f t="shared" si="98"/>
        <v>-5604.7470175762983</v>
      </c>
      <c r="M169" s="47">
        <f t="shared" si="99"/>
        <v>38182.862520725284</v>
      </c>
      <c r="N169" s="47">
        <f t="shared" si="100"/>
        <v>24961.972280794082</v>
      </c>
      <c r="O169" s="34"/>
      <c r="P169" s="36">
        <f t="shared" si="94"/>
        <v>0</v>
      </c>
      <c r="Q169" s="35"/>
      <c r="R169" s="33"/>
      <c r="S169" s="43"/>
      <c r="T169" s="19"/>
      <c r="U169" s="27">
        <f t="shared" si="101"/>
        <v>38182.862520725284</v>
      </c>
      <c r="V169" s="28">
        <f t="shared" si="101"/>
        <v>24961.972280794082</v>
      </c>
      <c r="W169" s="43"/>
      <c r="X169" s="19"/>
      <c r="Y169" s="42">
        <f t="shared" si="89"/>
        <v>0</v>
      </c>
      <c r="Z169" s="42">
        <f t="shared" si="89"/>
        <v>0</v>
      </c>
    </row>
    <row r="170" spans="1:26" hidden="1" outlineLevel="1" x14ac:dyDescent="0.25">
      <c r="A170" s="18"/>
      <c r="B170" s="38">
        <f t="shared" si="102"/>
        <v>12</v>
      </c>
      <c r="C170" s="54">
        <f t="shared" si="95"/>
        <v>117.91604808587292</v>
      </c>
      <c r="D170" s="33">
        <f>C170*VLOOKUP($A$159,Ταρίφες!$A$6:$G$23,$K$6,FALSE)*(1+$F$3)^(B170-1)</f>
        <v>60137.184523795186</v>
      </c>
      <c r="E170" s="33">
        <f>C170*VLOOKUP($A$159,Ταρίφες!$A$6:$G$23,$K$7,FALSE)*(1+$F$3)^(B170-1)</f>
        <v>42449.777310914251</v>
      </c>
      <c r="F170" s="46">
        <f t="shared" si="90"/>
        <v>-2486.7486167893039</v>
      </c>
      <c r="G170" s="47">
        <f t="shared" si="91"/>
        <v>-994.69944671572159</v>
      </c>
      <c r="H170" s="47">
        <f t="shared" si="92"/>
        <v>-3481.4480635050259</v>
      </c>
      <c r="I170" s="46">
        <f t="shared" si="93"/>
        <v>-5595.1843877759338</v>
      </c>
      <c r="J170" s="47">
        <f t="shared" si="96"/>
        <v>-9010</v>
      </c>
      <c r="K170" s="47">
        <f t="shared" si="97"/>
        <v>-10027.967042342392</v>
      </c>
      <c r="L170" s="47">
        <f t="shared" si="98"/>
        <v>-5429.241166993349</v>
      </c>
      <c r="M170" s="47">
        <f t="shared" si="99"/>
        <v>37551.136966666803</v>
      </c>
      <c r="N170" s="47">
        <f t="shared" si="100"/>
        <v>24462.455629134914</v>
      </c>
      <c r="O170" s="34"/>
      <c r="P170" s="36">
        <f t="shared" si="94"/>
        <v>0</v>
      </c>
      <c r="Q170" s="35"/>
      <c r="R170" s="33"/>
      <c r="S170" s="43"/>
      <c r="T170" s="19"/>
      <c r="U170" s="27">
        <f t="shared" si="101"/>
        <v>37551.136966666803</v>
      </c>
      <c r="V170" s="28">
        <f t="shared" si="101"/>
        <v>24462.455629134914</v>
      </c>
      <c r="W170" s="43"/>
      <c r="X170" s="19"/>
      <c r="Y170" s="42">
        <f t="shared" si="89"/>
        <v>0</v>
      </c>
      <c r="Z170" s="42">
        <f t="shared" si="89"/>
        <v>0</v>
      </c>
    </row>
    <row r="171" spans="1:26" hidden="1" outlineLevel="1" x14ac:dyDescent="0.25">
      <c r="A171" s="18"/>
      <c r="B171" s="38">
        <f t="shared" si="102"/>
        <v>13</v>
      </c>
      <c r="C171" s="54">
        <f t="shared" si="95"/>
        <v>116.73688760501419</v>
      </c>
      <c r="D171" s="33">
        <f>C171*VLOOKUP($A$159,Ταρίφες!$A$6:$G$23,$K$6,FALSE)*(1+$F$3)^(B171-1)</f>
        <v>59535.812678557239</v>
      </c>
      <c r="E171" s="33">
        <f>C171*VLOOKUP($A$159,Ταρίφες!$A$6:$G$23,$K$7,FALSE)*(1+$F$3)^(B171-1)</f>
        <v>42025.279537805109</v>
      </c>
      <c r="F171" s="46">
        <f t="shared" si="90"/>
        <v>-2536.4835891250905</v>
      </c>
      <c r="G171" s="47">
        <f t="shared" si="91"/>
        <v>-1014.5934356500362</v>
      </c>
      <c r="H171" s="47">
        <f t="shared" si="92"/>
        <v>-3551.0770247751266</v>
      </c>
      <c r="I171" s="46">
        <f t="shared" si="93"/>
        <v>-5707.0880755314538</v>
      </c>
      <c r="J171" s="47">
        <f t="shared" si="96"/>
        <v>-9010</v>
      </c>
      <c r="K171" s="47">
        <f t="shared" si="97"/>
        <v>-9806.3083439036382</v>
      </c>
      <c r="L171" s="47">
        <f t="shared" si="98"/>
        <v>-5253.569727308085</v>
      </c>
      <c r="M171" s="47">
        <f t="shared" si="99"/>
        <v>36920.262209571898</v>
      </c>
      <c r="N171" s="47">
        <f t="shared" si="100"/>
        <v>23962.467685415319</v>
      </c>
      <c r="O171" s="34"/>
      <c r="P171" s="36">
        <f t="shared" si="94"/>
        <v>0</v>
      </c>
      <c r="Q171" s="35"/>
      <c r="R171" s="33"/>
      <c r="S171" s="43"/>
      <c r="T171" s="19"/>
      <c r="U171" s="27">
        <f t="shared" si="101"/>
        <v>36920.262209571898</v>
      </c>
      <c r="V171" s="28">
        <f t="shared" si="101"/>
        <v>23962.467685415319</v>
      </c>
      <c r="W171" s="43"/>
      <c r="X171" s="19"/>
      <c r="Y171" s="42">
        <f t="shared" si="89"/>
        <v>0</v>
      </c>
      <c r="Z171" s="42">
        <f t="shared" si="89"/>
        <v>0</v>
      </c>
    </row>
    <row r="172" spans="1:26" hidden="1" outlineLevel="1" x14ac:dyDescent="0.25">
      <c r="A172" s="18"/>
      <c r="B172" s="38">
        <f t="shared" si="102"/>
        <v>14</v>
      </c>
      <c r="C172" s="54">
        <f t="shared" si="95"/>
        <v>115.56951872896404</v>
      </c>
      <c r="D172" s="33">
        <f>C172*VLOOKUP($A$159,Ταρίφες!$A$6:$G$23,$K$6,FALSE)*(1+$F$3)^(B172-1)</f>
        <v>58940.454551771661</v>
      </c>
      <c r="E172" s="33">
        <f>C172*VLOOKUP($A$159,Ταρίφες!$A$6:$G$23,$K$7,FALSE)*(1+$F$3)^(B172-1)</f>
        <v>41605.026742427057</v>
      </c>
      <c r="F172" s="46">
        <f t="shared" si="90"/>
        <v>-2587.213260907592</v>
      </c>
      <c r="G172" s="47">
        <f t="shared" si="91"/>
        <v>-1034.8853043630368</v>
      </c>
      <c r="H172" s="47">
        <f t="shared" si="92"/>
        <v>-3622.098565270629</v>
      </c>
      <c r="I172" s="46">
        <f t="shared" si="93"/>
        <v>-5821.2298370420822</v>
      </c>
      <c r="J172" s="47">
        <f t="shared" si="96"/>
        <v>-9010</v>
      </c>
      <c r="K172" s="47">
        <f t="shared" si="97"/>
        <v>-9584.9071718889645</v>
      </c>
      <c r="L172" s="47">
        <f t="shared" si="98"/>
        <v>-5077.6959414593666</v>
      </c>
      <c r="M172" s="47">
        <f t="shared" si="99"/>
        <v>36290.120412299366</v>
      </c>
      <c r="N172" s="47">
        <f t="shared" si="100"/>
        <v>23461.903833384353</v>
      </c>
      <c r="O172" s="34"/>
      <c r="P172" s="36">
        <f t="shared" si="94"/>
        <v>0</v>
      </c>
      <c r="Q172" s="35"/>
      <c r="R172" s="33"/>
      <c r="S172" s="43"/>
      <c r="T172" s="19"/>
      <c r="U172" s="27">
        <f t="shared" si="101"/>
        <v>36290.120412299366</v>
      </c>
      <c r="V172" s="28">
        <f t="shared" si="101"/>
        <v>23461.903833384353</v>
      </c>
      <c r="W172" s="43"/>
      <c r="X172" s="19"/>
      <c r="Y172" s="42">
        <f t="shared" si="89"/>
        <v>0</v>
      </c>
      <c r="Z172" s="42">
        <f t="shared" si="89"/>
        <v>0</v>
      </c>
    </row>
    <row r="173" spans="1:26" hidden="1" outlineLevel="1" x14ac:dyDescent="0.25">
      <c r="A173" s="18"/>
      <c r="B173" s="38">
        <f t="shared" si="102"/>
        <v>15</v>
      </c>
      <c r="C173" s="54">
        <f t="shared" si="95"/>
        <v>114.4138235416744</v>
      </c>
      <c r="D173" s="33">
        <f>C173*VLOOKUP($A$159,Ταρίφες!$A$6:$G$23,$K$6,FALSE)*(1+$F$3)^(B173-1)</f>
        <v>58351.050006253943</v>
      </c>
      <c r="E173" s="33">
        <f>C173*VLOOKUP($A$159,Ταρίφες!$A$6:$G$23,$K$7,FALSE)*(1+$F$3)^(B173-1)</f>
        <v>41188.976475002783</v>
      </c>
      <c r="F173" s="46">
        <f t="shared" si="90"/>
        <v>-2638.9575261257442</v>
      </c>
      <c r="G173" s="47">
        <f t="shared" si="91"/>
        <v>-1055.5830104502977</v>
      </c>
      <c r="H173" s="47">
        <f t="shared" si="92"/>
        <v>-3694.5405365760421</v>
      </c>
      <c r="I173" s="46">
        <f t="shared" si="93"/>
        <v>-5937.6544337829246</v>
      </c>
      <c r="J173" s="47">
        <f t="shared" si="96"/>
        <v>-9010</v>
      </c>
      <c r="K173" s="47">
        <f t="shared" si="97"/>
        <v>-9363.7217698229233</v>
      </c>
      <c r="L173" s="47">
        <f t="shared" si="98"/>
        <v>-4901.5826516976213</v>
      </c>
      <c r="M173" s="47">
        <f t="shared" si="99"/>
        <v>35660.592729496013</v>
      </c>
      <c r="N173" s="47">
        <f t="shared" si="100"/>
        <v>22960.658316370151</v>
      </c>
      <c r="O173" s="34"/>
      <c r="P173" s="36">
        <f t="shared" si="94"/>
        <v>0</v>
      </c>
      <c r="Q173" s="35"/>
      <c r="R173" s="33"/>
      <c r="S173" s="43"/>
      <c r="T173" s="19"/>
      <c r="U173" s="27">
        <f t="shared" si="101"/>
        <v>35660.592729496013</v>
      </c>
      <c r="V173" s="28">
        <f t="shared" si="101"/>
        <v>22960.658316370151</v>
      </c>
      <c r="W173" s="43"/>
      <c r="X173" s="19"/>
      <c r="Y173" s="42">
        <f t="shared" si="89"/>
        <v>0</v>
      </c>
      <c r="Z173" s="42">
        <f t="shared" si="89"/>
        <v>0</v>
      </c>
    </row>
    <row r="174" spans="1:26" hidden="1" outlineLevel="1" x14ac:dyDescent="0.25">
      <c r="A174" s="18"/>
      <c r="B174" s="38">
        <f t="shared" si="102"/>
        <v>16</v>
      </c>
      <c r="C174" s="54">
        <f t="shared" si="95"/>
        <v>113.26968530625766</v>
      </c>
      <c r="D174" s="33">
        <f>C174*VLOOKUP($A$159,Ταρίφες!$A$6:$G$23,$K$6,FALSE)*(1+$F$3)^(B174-1)</f>
        <v>57767.539506191402</v>
      </c>
      <c r="E174" s="33">
        <f>C174*VLOOKUP($A$159,Ταρίφες!$A$6:$G$23,$K$7,FALSE)*(1+$F$3)^(B174-1)</f>
        <v>40777.086710252755</v>
      </c>
      <c r="F174" s="46">
        <f t="shared" si="90"/>
        <v>-2691.7366766482583</v>
      </c>
      <c r="G174" s="47">
        <f t="shared" si="91"/>
        <v>-1076.6946706593035</v>
      </c>
      <c r="H174" s="47">
        <f t="shared" si="92"/>
        <v>-3768.4313473075617</v>
      </c>
      <c r="I174" s="46">
        <f t="shared" si="93"/>
        <v>-6056.4075224585813</v>
      </c>
      <c r="J174" s="47">
        <f t="shared" si="96"/>
        <v>-9010</v>
      </c>
      <c r="K174" s="47">
        <f t="shared" si="97"/>
        <v>-9142.7100151706018</v>
      </c>
      <c r="L174" s="47">
        <f t="shared" si="98"/>
        <v>-4725.1922882265535</v>
      </c>
      <c r="M174" s="47">
        <f t="shared" si="99"/>
        <v>35031.559273947096</v>
      </c>
      <c r="N174" s="47">
        <f t="shared" si="100"/>
        <v>22458.624204952499</v>
      </c>
      <c r="O174" s="34"/>
      <c r="P174" s="36">
        <f t="shared" si="94"/>
        <v>0</v>
      </c>
      <c r="Q174" s="35"/>
      <c r="R174" s="33"/>
      <c r="S174" s="43"/>
      <c r="T174" s="19"/>
      <c r="U174" s="27">
        <f t="shared" si="101"/>
        <v>35031.559273947096</v>
      </c>
      <c r="V174" s="28">
        <f t="shared" si="101"/>
        <v>22458.624204952499</v>
      </c>
      <c r="W174" s="43"/>
      <c r="X174" s="19"/>
      <c r="Y174" s="42">
        <f t="shared" si="89"/>
        <v>0</v>
      </c>
      <c r="Z174" s="42">
        <f t="shared" si="89"/>
        <v>0</v>
      </c>
    </row>
    <row r="175" spans="1:26" hidden="1" outlineLevel="1" x14ac:dyDescent="0.25">
      <c r="A175" s="18"/>
      <c r="B175" s="38">
        <f t="shared" si="102"/>
        <v>17</v>
      </c>
      <c r="C175" s="54">
        <f t="shared" si="95"/>
        <v>112.13698845319507</v>
      </c>
      <c r="D175" s="33">
        <f>C175*VLOOKUP($A$159,Ταρίφες!$A$6:$G$23,$K$6,FALSE)*(1+$F$3)^(B175-1)</f>
        <v>57189.864111129486</v>
      </c>
      <c r="E175" s="33">
        <f>C175*VLOOKUP($A$159,Ταρίφες!$A$6:$G$23,$K$7,FALSE)*(1+$F$3)^(B175-1)</f>
        <v>40369.315843150223</v>
      </c>
      <c r="F175" s="46">
        <f t="shared" si="90"/>
        <v>-2745.5714101812241</v>
      </c>
      <c r="G175" s="47">
        <f t="shared" si="91"/>
        <v>-1098.2285640724897</v>
      </c>
      <c r="H175" s="47">
        <f t="shared" si="92"/>
        <v>-3843.7999742537136</v>
      </c>
      <c r="I175" s="46">
        <f t="shared" si="93"/>
        <v>-6177.5356729077539</v>
      </c>
      <c r="J175" s="47">
        <f t="shared" si="96"/>
        <v>-9010</v>
      </c>
      <c r="K175" s="47">
        <f t="shared" si="97"/>
        <v>-8921.8294073257184</v>
      </c>
      <c r="L175" s="47">
        <f t="shared" si="98"/>
        <v>-4548.4868576511108</v>
      </c>
      <c r="M175" s="47">
        <f t="shared" si="99"/>
        <v>34402.899082388583</v>
      </c>
      <c r="N175" s="47">
        <f t="shared" si="100"/>
        <v>21955.693364083931</v>
      </c>
      <c r="O175" s="34"/>
      <c r="P175" s="36">
        <f t="shared" si="94"/>
        <v>0</v>
      </c>
      <c r="Q175" s="35"/>
      <c r="R175" s="33"/>
      <c r="S175" s="43"/>
      <c r="T175" s="19"/>
      <c r="U175" s="27">
        <f t="shared" si="101"/>
        <v>34402.899082388583</v>
      </c>
      <c r="V175" s="28">
        <f t="shared" si="101"/>
        <v>21955.693364083931</v>
      </c>
      <c r="W175" s="43"/>
      <c r="X175" s="19"/>
      <c r="Y175" s="42">
        <f t="shared" si="89"/>
        <v>0</v>
      </c>
      <c r="Z175" s="42">
        <f t="shared" si="89"/>
        <v>0</v>
      </c>
    </row>
    <row r="176" spans="1:26" hidden="1" outlineLevel="1" x14ac:dyDescent="0.25">
      <c r="A176" s="18"/>
      <c r="B176" s="38">
        <f t="shared" si="102"/>
        <v>18</v>
      </c>
      <c r="C176" s="54">
        <f t="shared" si="95"/>
        <v>111.01561856866311</v>
      </c>
      <c r="D176" s="33">
        <f>C176*VLOOKUP($A$159,Ταρίφες!$A$6:$G$23,$K$6,FALSE)*(1+$F$3)^(B176-1)</f>
        <v>56617.965470018185</v>
      </c>
      <c r="E176" s="33">
        <f>C176*VLOOKUP($A$159,Ταρίφες!$A$6:$G$23,$K$7,FALSE)*(1+$F$3)^(B176-1)</f>
        <v>39965.622684718721</v>
      </c>
      <c r="F176" s="46">
        <f t="shared" si="90"/>
        <v>-2800.4828383848489</v>
      </c>
      <c r="G176" s="47">
        <f t="shared" si="91"/>
        <v>-1120.1931353539396</v>
      </c>
      <c r="H176" s="47">
        <f t="shared" si="92"/>
        <v>-3920.6759737387883</v>
      </c>
      <c r="I176" s="46">
        <f t="shared" si="93"/>
        <v>-6301.0863863659097</v>
      </c>
      <c r="J176" s="47">
        <f t="shared" si="96"/>
        <v>-9010</v>
      </c>
      <c r="K176" s="47">
        <f t="shared" si="97"/>
        <v>-8701.0370554054225</v>
      </c>
      <c r="L176" s="47">
        <f t="shared" si="98"/>
        <v>-4371.4279312275612</v>
      </c>
      <c r="M176" s="47">
        <f t="shared" si="99"/>
        <v>33774.490080769276</v>
      </c>
      <c r="N176" s="47">
        <f t="shared" si="100"/>
        <v>21451.756419647674</v>
      </c>
      <c r="O176" s="34"/>
      <c r="P176" s="36">
        <f t="shared" si="94"/>
        <v>0</v>
      </c>
      <c r="Q176" s="35"/>
      <c r="R176" s="33"/>
      <c r="S176" s="43"/>
      <c r="T176" s="19"/>
      <c r="U176" s="27">
        <f t="shared" si="101"/>
        <v>33774.490080769276</v>
      </c>
      <c r="V176" s="28">
        <f t="shared" si="101"/>
        <v>21451.756419647674</v>
      </c>
      <c r="W176" s="43"/>
      <c r="X176" s="19"/>
      <c r="Y176" s="42">
        <f t="shared" si="89"/>
        <v>0</v>
      </c>
      <c r="Z176" s="42">
        <f t="shared" si="89"/>
        <v>0</v>
      </c>
    </row>
    <row r="177" spans="1:26" hidden="1" outlineLevel="1" x14ac:dyDescent="0.25">
      <c r="A177" s="18"/>
      <c r="B177" s="38">
        <f t="shared" si="102"/>
        <v>19</v>
      </c>
      <c r="C177" s="54">
        <f t="shared" si="95"/>
        <v>109.90546238297648</v>
      </c>
      <c r="D177" s="33">
        <f>C177*VLOOKUP($A$159,Ταρίφες!$A$6:$G$23,$K$6,FALSE)*(1+$F$3)^(B177-1)</f>
        <v>56051.785815318006</v>
      </c>
      <c r="E177" s="33">
        <f>C177*VLOOKUP($A$159,Ταρίφες!$A$6:$G$23,$K$7,FALSE)*(1+$F$3)^(B177-1)</f>
        <v>39565.966457871531</v>
      </c>
      <c r="F177" s="46">
        <f t="shared" si="90"/>
        <v>-2856.4924951525454</v>
      </c>
      <c r="G177" s="47">
        <f t="shared" si="91"/>
        <v>-1142.5969980610182</v>
      </c>
      <c r="H177" s="47">
        <f t="shared" si="92"/>
        <v>-3999.0894932135634</v>
      </c>
      <c r="I177" s="46">
        <f t="shared" si="93"/>
        <v>-6427.1081140932274</v>
      </c>
      <c r="J177" s="47">
        <f t="shared" si="96"/>
        <v>-9010</v>
      </c>
      <c r="K177" s="47">
        <f t="shared" si="97"/>
        <v>-8480.2896658473892</v>
      </c>
      <c r="L177" s="47">
        <f t="shared" si="98"/>
        <v>-4193.9766329113054</v>
      </c>
      <c r="M177" s="47">
        <f t="shared" si="99"/>
        <v>33146.209048950259</v>
      </c>
      <c r="N177" s="47">
        <f t="shared" si="100"/>
        <v>20946.702724439871</v>
      </c>
      <c r="O177" s="34"/>
      <c r="P177" s="36">
        <f t="shared" si="94"/>
        <v>0</v>
      </c>
      <c r="Q177" s="35"/>
      <c r="R177" s="33"/>
      <c r="S177" s="43"/>
      <c r="T177" s="19"/>
      <c r="U177" s="27">
        <f t="shared" si="101"/>
        <v>33146.209048950259</v>
      </c>
      <c r="V177" s="28">
        <f t="shared" si="101"/>
        <v>20946.702724439871</v>
      </c>
      <c r="W177" s="43"/>
      <c r="X177" s="19"/>
      <c r="Y177" s="42">
        <f t="shared" si="89"/>
        <v>0</v>
      </c>
      <c r="Z177" s="42">
        <f t="shared" si="89"/>
        <v>0</v>
      </c>
    </row>
    <row r="178" spans="1:26" hidden="1" outlineLevel="1" x14ac:dyDescent="0.25">
      <c r="A178" s="18"/>
      <c r="B178" s="38">
        <f>B177+1</f>
        <v>20</v>
      </c>
      <c r="C178" s="54">
        <f>C177*(1-$F$2)</f>
        <v>108.80640775914671</v>
      </c>
      <c r="D178" s="33">
        <f>C178*VLOOKUP($A$159,Ταρίφες!$A$6:$G$23,$K$6,FALSE)*(1+$F$3)^(B178-1)</f>
        <v>55491.267957164819</v>
      </c>
      <c r="E178" s="33">
        <f>C178*VLOOKUP($A$159,Ταρίφες!$A$6:$G$23,$K$7,FALSE)*(1+$F$3)^(B178-1)</f>
        <v>39170.306793292817</v>
      </c>
      <c r="F178" s="46">
        <f t="shared" si="90"/>
        <v>-2913.6223450555963</v>
      </c>
      <c r="G178" s="47">
        <f t="shared" si="91"/>
        <v>-1165.4489380222385</v>
      </c>
      <c r="H178" s="47">
        <f>-$K$4*(1+$F$4)^(B178-$B$12)</f>
        <v>-4079.0712830778348</v>
      </c>
      <c r="I178" s="46">
        <f>-(4500*(1+$F$4)^(B178-$B$12))</f>
        <v>-6555.6502763750914</v>
      </c>
      <c r="J178" s="47">
        <f t="shared" si="96"/>
        <v>-9010</v>
      </c>
      <c r="K178" s="47">
        <f>-(D178+SUM(F178:J178))*$F$5</f>
        <v>-8259.5435298048542</v>
      </c>
      <c r="L178" s="47">
        <f>-(E178+SUM(F178:J178))*$F$5</f>
        <v>-4016.0936271981345</v>
      </c>
      <c r="M178" s="47">
        <f>D178+SUM(F178:I178)+K178</f>
        <v>32517.931584829203</v>
      </c>
      <c r="N178" s="47">
        <f>E178+SUM(F178:I178)+L178</f>
        <v>20440.420323563922</v>
      </c>
      <c r="O178" s="34"/>
      <c r="P178" s="36">
        <f t="shared" si="94"/>
        <v>0</v>
      </c>
      <c r="Q178" s="35"/>
      <c r="R178" s="33"/>
      <c r="S178" s="43"/>
      <c r="T178" s="19"/>
      <c r="U178" s="27">
        <f>M178</f>
        <v>32517.931584829203</v>
      </c>
      <c r="V178" s="28">
        <f>N178</f>
        <v>20440.420323563922</v>
      </c>
      <c r="W178" s="43"/>
      <c r="X178" s="19"/>
      <c r="Y178" s="42">
        <f t="shared" si="89"/>
        <v>0</v>
      </c>
      <c r="Z178" s="42">
        <f t="shared" si="89"/>
        <v>0</v>
      </c>
    </row>
    <row r="179" spans="1:26" s="40" customFormat="1" hidden="1" outlineLevel="1" x14ac:dyDescent="0.25">
      <c r="O179" s="17"/>
      <c r="P179" s="36">
        <f>-O179*0.4</f>
        <v>0</v>
      </c>
      <c r="Q179" s="25"/>
      <c r="R179" s="22"/>
      <c r="S179" s="52"/>
      <c r="T179" s="44"/>
      <c r="U179" s="74">
        <f>O180</f>
        <v>-199500</v>
      </c>
      <c r="V179" s="74">
        <f>R180</f>
        <v>-139176.92362591624</v>
      </c>
      <c r="W179" s="52"/>
      <c r="X179" s="44"/>
      <c r="Y179" s="42">
        <f t="shared" si="89"/>
        <v>0</v>
      </c>
      <c r="Z179" s="42">
        <f t="shared" si="89"/>
        <v>0</v>
      </c>
    </row>
    <row r="180" spans="1:26" collapsed="1" x14ac:dyDescent="0.25">
      <c r="A180" s="32" t="str">
        <f>Ταρίφες!A18</f>
        <v>Α Τριμ. 2012</v>
      </c>
      <c r="B180" s="38">
        <f>1</f>
        <v>1</v>
      </c>
      <c r="C180" s="54">
        <f>$F$8*$K$2/1000</f>
        <v>131.69999999999999</v>
      </c>
      <c r="D180" s="33">
        <f>C180*VLOOKUP($A$180,Ταρίφες!$A$6:$G$23,$K$6,FALSE)*(1+$F$3)^(B180-1)</f>
        <v>61898.999999999993</v>
      </c>
      <c r="E180" s="33">
        <f>C180*VLOOKUP($A$180,Ταρίφες!$A$6:$G$23,$K$7,FALSE)*(1+$F$3)^(B180-1)</f>
        <v>43460.999999999993</v>
      </c>
      <c r="F180" s="46">
        <f t="shared" ref="F180:F199" si="103">-($K$5*(1+$F$4)^(B180-$B$12))</f>
        <v>-2000</v>
      </c>
      <c r="G180" s="47">
        <f t="shared" ref="G180:G199" si="104">-$K$2*10*(1+$F$4)^(B180-$B$12)</f>
        <v>-800</v>
      </c>
      <c r="H180" s="47">
        <f t="shared" ref="H180:H198" si="105">-$K$4*(1+$F$4)^(B180-$B$12)</f>
        <v>-2800</v>
      </c>
      <c r="I180" s="46">
        <f t="shared" ref="I180:I198" si="106">-(4500*(1+$F$4)^(B180-$B$12))</f>
        <v>-4500</v>
      </c>
      <c r="J180" s="47">
        <f>$O$180*4%</f>
        <v>-7980</v>
      </c>
      <c r="K180" s="47">
        <f>-(D180+SUM(F180:J180))*$F$5</f>
        <v>-11392.939999999999</v>
      </c>
      <c r="L180" s="47">
        <f>-(E180+SUM(F180:J180))*$F$5</f>
        <v>-6599.0599999999986</v>
      </c>
      <c r="M180" s="47">
        <f>D180+SUM(F180:I180)+K180</f>
        <v>40406.06</v>
      </c>
      <c r="N180" s="47">
        <f>E180+SUM(F180:I180)+L180</f>
        <v>26761.939999999995</v>
      </c>
      <c r="O180" s="35">
        <f>-VLOOKUP(A180,'Κόστος Κατασκευής'!$A$4:$Q$17,$K$8,FALSE)</f>
        <v>-199500</v>
      </c>
      <c r="P180" s="36">
        <f t="shared" ref="P180:P200" si="107">-O180*0.4</f>
        <v>79800</v>
      </c>
      <c r="Q180" s="36">
        <f>Q159*15/16</f>
        <v>-19476.923625916246</v>
      </c>
      <c r="R180" s="37">
        <f>SUM(O180:Q180)</f>
        <v>-139176.92362591624</v>
      </c>
      <c r="S180" s="42">
        <f>IRR(U179:U199)</f>
        <v>0.18141582157295044</v>
      </c>
      <c r="T180" s="42">
        <f>IRR(V179:V199)</f>
        <v>0.16731384618175382</v>
      </c>
      <c r="U180" s="27">
        <f>M180</f>
        <v>40406.06</v>
      </c>
      <c r="V180" s="28">
        <f>N180</f>
        <v>26761.939999999995</v>
      </c>
      <c r="W180" s="42">
        <f>'IRR ΔΣ Ισχύον'!S180</f>
        <v>0.1802027048627477</v>
      </c>
      <c r="X180" s="42">
        <f>'IRR ΔΣ Ισχύον'!T180</f>
        <v>0.16393844654257039</v>
      </c>
      <c r="Y180" s="42">
        <f t="shared" si="89"/>
        <v>1.213116710202744E-3</v>
      </c>
      <c r="Z180" s="42">
        <f t="shared" si="89"/>
        <v>3.3753996391834296E-3</v>
      </c>
    </row>
    <row r="181" spans="1:26" hidden="1" outlineLevel="1" x14ac:dyDescent="0.25">
      <c r="A181" s="18"/>
      <c r="B181" s="38">
        <f>B180+1</f>
        <v>2</v>
      </c>
      <c r="C181" s="54">
        <f t="shared" ref="C181:C198" si="108">C180*(1-$F$2)</f>
        <v>130.38299999999998</v>
      </c>
      <c r="D181" s="33">
        <f>C181*VLOOKUP($A$180,Ταρίφες!$A$6:$G$23,$K$6,FALSE)*(1+$F$3)^(B181-1)</f>
        <v>61280.009999999995</v>
      </c>
      <c r="E181" s="33">
        <f>C181*VLOOKUP($A$180,Ταρίφες!$A$6:$G$23,$K$7,FALSE)*(1+$F$3)^(B181-1)</f>
        <v>43026.389999999992</v>
      </c>
      <c r="F181" s="46">
        <f t="shared" si="103"/>
        <v>-2040</v>
      </c>
      <c r="G181" s="47">
        <f t="shared" si="104"/>
        <v>-816</v>
      </c>
      <c r="H181" s="47">
        <f t="shared" si="105"/>
        <v>-2856</v>
      </c>
      <c r="I181" s="46">
        <f t="shared" si="106"/>
        <v>-4590</v>
      </c>
      <c r="J181" s="47">
        <f t="shared" ref="J181:J199" si="109">$O$180*4%</f>
        <v>-7980</v>
      </c>
      <c r="K181" s="47">
        <f t="shared" ref="K181:K198" si="110">-(D181+SUM(F181:J181))*$F$5</f>
        <v>-11179.482599999999</v>
      </c>
      <c r="L181" s="47">
        <f t="shared" ref="L181:L198" si="111">-(E181+SUM(F181:J181))*$F$5</f>
        <v>-6433.5413999999982</v>
      </c>
      <c r="M181" s="47">
        <f t="shared" ref="M181:M198" si="112">D181+SUM(F181:I181)+K181</f>
        <v>39798.527399999992</v>
      </c>
      <c r="N181" s="47">
        <f t="shared" ref="N181:N198" si="113">E181+SUM(F181:I181)+L181</f>
        <v>26290.848599999994</v>
      </c>
      <c r="O181" s="34"/>
      <c r="P181" s="36">
        <f t="shared" si="107"/>
        <v>0</v>
      </c>
      <c r="Q181" s="35"/>
      <c r="R181" s="33"/>
      <c r="S181" s="43"/>
      <c r="T181" s="19"/>
      <c r="U181" s="27">
        <f t="shared" ref="U181:V198" si="114">M181</f>
        <v>39798.527399999992</v>
      </c>
      <c r="V181" s="28">
        <f t="shared" si="114"/>
        <v>26290.848599999994</v>
      </c>
      <c r="W181" s="43"/>
      <c r="X181" s="19"/>
      <c r="Y181" s="42">
        <f t="shared" si="89"/>
        <v>0</v>
      </c>
      <c r="Z181" s="42">
        <f t="shared" si="89"/>
        <v>0</v>
      </c>
    </row>
    <row r="182" spans="1:26" hidden="1" outlineLevel="1" x14ac:dyDescent="0.25">
      <c r="A182" s="18"/>
      <c r="B182" s="38">
        <f t="shared" ref="B182:B198" si="115">B181+1</f>
        <v>3</v>
      </c>
      <c r="C182" s="54">
        <f t="shared" si="108"/>
        <v>129.07916999999998</v>
      </c>
      <c r="D182" s="33">
        <f>C182*VLOOKUP($A$180,Ταρίφες!$A$6:$G$23,$K$6,FALSE)*(1+$F$3)^(B182-1)</f>
        <v>60667.209899999987</v>
      </c>
      <c r="E182" s="33">
        <f>C182*VLOOKUP($A$180,Ταρίφες!$A$6:$G$23,$K$7,FALSE)*(1+$F$3)^(B182-1)</f>
        <v>42596.126099999994</v>
      </c>
      <c r="F182" s="46">
        <f t="shared" si="103"/>
        <v>-2080.8000000000002</v>
      </c>
      <c r="G182" s="47">
        <f t="shared" si="104"/>
        <v>-832.31999999999994</v>
      </c>
      <c r="H182" s="47">
        <f t="shared" si="105"/>
        <v>-2913.12</v>
      </c>
      <c r="I182" s="46">
        <f t="shared" si="106"/>
        <v>-4681.8</v>
      </c>
      <c r="J182" s="47">
        <f t="shared" si="109"/>
        <v>-7980</v>
      </c>
      <c r="K182" s="47">
        <f t="shared" si="110"/>
        <v>-10966.584173999996</v>
      </c>
      <c r="L182" s="47">
        <f t="shared" si="111"/>
        <v>-6268.1023859999987</v>
      </c>
      <c r="M182" s="47">
        <f t="shared" si="112"/>
        <v>39192.58572599999</v>
      </c>
      <c r="N182" s="47">
        <f t="shared" si="113"/>
        <v>25819.983713999995</v>
      </c>
      <c r="O182" s="34"/>
      <c r="P182" s="36">
        <f t="shared" si="107"/>
        <v>0</v>
      </c>
      <c r="Q182" s="35"/>
      <c r="R182" s="33"/>
      <c r="S182" s="43"/>
      <c r="T182" s="19"/>
      <c r="U182" s="27">
        <f t="shared" si="114"/>
        <v>39192.58572599999</v>
      </c>
      <c r="V182" s="28">
        <f t="shared" si="114"/>
        <v>25819.983713999995</v>
      </c>
      <c r="W182" s="43"/>
      <c r="X182" s="19"/>
      <c r="Y182" s="42">
        <f t="shared" si="89"/>
        <v>0</v>
      </c>
      <c r="Z182" s="42">
        <f t="shared" si="89"/>
        <v>0</v>
      </c>
    </row>
    <row r="183" spans="1:26" hidden="1" outlineLevel="1" x14ac:dyDescent="0.25">
      <c r="A183" s="18"/>
      <c r="B183" s="38">
        <f t="shared" si="115"/>
        <v>4</v>
      </c>
      <c r="C183" s="54">
        <f t="shared" si="108"/>
        <v>127.78837829999998</v>
      </c>
      <c r="D183" s="33">
        <f>C183*VLOOKUP($A$180,Ταρίφες!$A$6:$G$23,$K$6,FALSE)*(1+$F$3)^(B183-1)</f>
        <v>60060.537800999991</v>
      </c>
      <c r="E183" s="33">
        <f>C183*VLOOKUP($A$180,Ταρίφες!$A$6:$G$23,$K$7,FALSE)*(1+$F$3)^(B183-1)</f>
        <v>42170.16483899999</v>
      </c>
      <c r="F183" s="46">
        <f t="shared" si="103"/>
        <v>-2122.4159999999997</v>
      </c>
      <c r="G183" s="47">
        <f t="shared" si="104"/>
        <v>-848.96639999999991</v>
      </c>
      <c r="H183" s="47">
        <f t="shared" si="105"/>
        <v>-2971.3824</v>
      </c>
      <c r="I183" s="46">
        <f t="shared" si="106"/>
        <v>-4775.4359999999997</v>
      </c>
      <c r="J183" s="47">
        <f t="shared" si="109"/>
        <v>-7980</v>
      </c>
      <c r="K183" s="47">
        <f t="shared" si="110"/>
        <v>-10754.207620259998</v>
      </c>
      <c r="L183" s="47">
        <f t="shared" si="111"/>
        <v>-6102.7106501399976</v>
      </c>
      <c r="M183" s="47">
        <f t="shared" si="112"/>
        <v>38588.129380739992</v>
      </c>
      <c r="N183" s="47">
        <f t="shared" si="113"/>
        <v>25349.253388859994</v>
      </c>
      <c r="O183" s="34"/>
      <c r="P183" s="36">
        <f t="shared" si="107"/>
        <v>0</v>
      </c>
      <c r="Q183" s="35"/>
      <c r="R183" s="33"/>
      <c r="S183" s="43"/>
      <c r="T183" s="19"/>
      <c r="U183" s="27">
        <f t="shared" si="114"/>
        <v>38588.129380739992</v>
      </c>
      <c r="V183" s="28">
        <f t="shared" si="114"/>
        <v>25349.253388859994</v>
      </c>
      <c r="W183" s="43"/>
      <c r="X183" s="19"/>
      <c r="Y183" s="42">
        <f t="shared" si="89"/>
        <v>0</v>
      </c>
      <c r="Z183" s="42">
        <f t="shared" si="89"/>
        <v>0</v>
      </c>
    </row>
    <row r="184" spans="1:26" hidden="1" outlineLevel="1" x14ac:dyDescent="0.25">
      <c r="A184" s="18"/>
      <c r="B184" s="38">
        <f t="shared" si="115"/>
        <v>5</v>
      </c>
      <c r="C184" s="54">
        <f t="shared" si="108"/>
        <v>126.51049451699997</v>
      </c>
      <c r="D184" s="33">
        <f>C184*VLOOKUP($A$180,Ταρίφες!$A$6:$G$23,$K$6,FALSE)*(1+$F$3)^(B184-1)</f>
        <v>59459.932422989987</v>
      </c>
      <c r="E184" s="33">
        <f>C184*VLOOKUP($A$180,Ταρίφες!$A$6:$G$23,$K$7,FALSE)*(1+$F$3)^(B184-1)</f>
        <v>41748.463190609989</v>
      </c>
      <c r="F184" s="46">
        <f t="shared" si="103"/>
        <v>-2164.8643200000001</v>
      </c>
      <c r="G184" s="47">
        <f t="shared" si="104"/>
        <v>-865.94572800000003</v>
      </c>
      <c r="H184" s="47">
        <f t="shared" si="105"/>
        <v>-3030.8100479999998</v>
      </c>
      <c r="I184" s="46">
        <f t="shared" si="106"/>
        <v>-4870.9447199999995</v>
      </c>
      <c r="J184" s="47">
        <f t="shared" si="109"/>
        <v>-7980</v>
      </c>
      <c r="K184" s="47">
        <f t="shared" si="110"/>
        <v>-10542.315577817397</v>
      </c>
      <c r="L184" s="47">
        <f t="shared" si="111"/>
        <v>-5937.3335773985982</v>
      </c>
      <c r="M184" s="47">
        <f t="shared" si="112"/>
        <v>37985.052029172592</v>
      </c>
      <c r="N184" s="47">
        <f t="shared" si="113"/>
        <v>24878.564797211395</v>
      </c>
      <c r="O184" s="34"/>
      <c r="P184" s="36">
        <f t="shared" si="107"/>
        <v>0</v>
      </c>
      <c r="Q184" s="35"/>
      <c r="R184" s="33"/>
      <c r="S184" s="43"/>
      <c r="T184" s="19"/>
      <c r="U184" s="27">
        <f t="shared" si="114"/>
        <v>37985.052029172592</v>
      </c>
      <c r="V184" s="28">
        <f t="shared" si="114"/>
        <v>24878.564797211395</v>
      </c>
      <c r="W184" s="43"/>
      <c r="X184" s="19"/>
      <c r="Y184" s="42">
        <f t="shared" si="89"/>
        <v>0</v>
      </c>
      <c r="Z184" s="42">
        <f t="shared" si="89"/>
        <v>0</v>
      </c>
    </row>
    <row r="185" spans="1:26" hidden="1" outlineLevel="1" x14ac:dyDescent="0.25">
      <c r="A185" s="18"/>
      <c r="B185" s="38">
        <f t="shared" si="115"/>
        <v>6</v>
      </c>
      <c r="C185" s="54">
        <f t="shared" si="108"/>
        <v>125.24538957182997</v>
      </c>
      <c r="D185" s="33">
        <f>C185*VLOOKUP($A$180,Ταρίφες!$A$6:$G$23,$K$6,FALSE)*(1+$F$3)^(B185-1)</f>
        <v>58865.333098760086</v>
      </c>
      <c r="E185" s="33">
        <f>C185*VLOOKUP($A$180,Ταρίφες!$A$6:$G$23,$K$7,FALSE)*(1+$F$3)^(B185-1)</f>
        <v>41330.978558703893</v>
      </c>
      <c r="F185" s="46">
        <f t="shared" si="103"/>
        <v>-2208.1616064</v>
      </c>
      <c r="G185" s="47">
        <f t="shared" si="104"/>
        <v>-883.26464255999997</v>
      </c>
      <c r="H185" s="47">
        <f t="shared" si="105"/>
        <v>-3091.4262489600001</v>
      </c>
      <c r="I185" s="46">
        <f t="shared" si="106"/>
        <v>-4968.3636144000002</v>
      </c>
      <c r="J185" s="47">
        <f t="shared" si="109"/>
        <v>-7980</v>
      </c>
      <c r="K185" s="47">
        <f t="shared" si="110"/>
        <v>-10330.870416474423</v>
      </c>
      <c r="L185" s="47">
        <f t="shared" si="111"/>
        <v>-5771.9382360598129</v>
      </c>
      <c r="M185" s="47">
        <f t="shared" si="112"/>
        <v>37383.24656996566</v>
      </c>
      <c r="N185" s="47">
        <f t="shared" si="113"/>
        <v>24407.824210324081</v>
      </c>
      <c r="O185" s="34"/>
      <c r="P185" s="36">
        <f t="shared" si="107"/>
        <v>0</v>
      </c>
      <c r="Q185" s="35"/>
      <c r="R185" s="33"/>
      <c r="S185" s="43"/>
      <c r="T185" s="19"/>
      <c r="U185" s="27">
        <f t="shared" si="114"/>
        <v>37383.24656996566</v>
      </c>
      <c r="V185" s="28">
        <f t="shared" si="114"/>
        <v>24407.824210324081</v>
      </c>
      <c r="W185" s="43"/>
      <c r="X185" s="19"/>
      <c r="Y185" s="42">
        <f t="shared" si="89"/>
        <v>0</v>
      </c>
      <c r="Z185" s="42">
        <f t="shared" si="89"/>
        <v>0</v>
      </c>
    </row>
    <row r="186" spans="1:26" hidden="1" outlineLevel="1" x14ac:dyDescent="0.25">
      <c r="A186" s="18"/>
      <c r="B186" s="38">
        <f t="shared" si="115"/>
        <v>7</v>
      </c>
      <c r="C186" s="54">
        <f t="shared" si="108"/>
        <v>123.99293567611167</v>
      </c>
      <c r="D186" s="33">
        <f>C186*VLOOKUP($A$180,Ταρίφες!$A$6:$G$23,$K$6,FALSE)*(1+$F$3)^(B186-1)</f>
        <v>58276.679767772483</v>
      </c>
      <c r="E186" s="33">
        <f>C186*VLOOKUP($A$180,Ταρίφες!$A$6:$G$23,$K$7,FALSE)*(1+$F$3)^(B186-1)</f>
        <v>40917.668773116849</v>
      </c>
      <c r="F186" s="46">
        <f t="shared" si="103"/>
        <v>-2252.3248385280003</v>
      </c>
      <c r="G186" s="47">
        <f t="shared" si="104"/>
        <v>-900.92993541120006</v>
      </c>
      <c r="H186" s="47">
        <f t="shared" si="105"/>
        <v>-3153.2547739392003</v>
      </c>
      <c r="I186" s="46">
        <f t="shared" si="106"/>
        <v>-5067.7308866880003</v>
      </c>
      <c r="J186" s="47">
        <f t="shared" si="109"/>
        <v>-7980</v>
      </c>
      <c r="K186" s="47">
        <f t="shared" si="110"/>
        <v>-10119.834226633582</v>
      </c>
      <c r="L186" s="47">
        <f t="shared" si="111"/>
        <v>-5606.4913680231175</v>
      </c>
      <c r="M186" s="47">
        <f t="shared" si="112"/>
        <v>36782.605106572504</v>
      </c>
      <c r="N186" s="47">
        <f t="shared" si="113"/>
        <v>23936.936970527331</v>
      </c>
      <c r="O186" s="34"/>
      <c r="P186" s="36">
        <f t="shared" si="107"/>
        <v>0</v>
      </c>
      <c r="Q186" s="35"/>
      <c r="R186" s="33"/>
      <c r="S186" s="43"/>
      <c r="T186" s="19"/>
      <c r="U186" s="27">
        <f t="shared" si="114"/>
        <v>36782.605106572504</v>
      </c>
      <c r="V186" s="28">
        <f t="shared" si="114"/>
        <v>23936.936970527331</v>
      </c>
      <c r="W186" s="43"/>
      <c r="X186" s="19"/>
      <c r="Y186" s="42">
        <f t="shared" si="89"/>
        <v>0</v>
      </c>
      <c r="Z186" s="42">
        <f t="shared" si="89"/>
        <v>0</v>
      </c>
    </row>
    <row r="187" spans="1:26" hidden="1" outlineLevel="1" x14ac:dyDescent="0.25">
      <c r="A187" s="18"/>
      <c r="B187" s="38">
        <f t="shared" si="115"/>
        <v>8</v>
      </c>
      <c r="C187" s="54">
        <f t="shared" si="108"/>
        <v>122.75300631935055</v>
      </c>
      <c r="D187" s="33">
        <f>C187*VLOOKUP($A$180,Ταρίφες!$A$6:$G$23,$K$6,FALSE)*(1+$F$3)^(B187-1)</f>
        <v>57693.91297009476</v>
      </c>
      <c r="E187" s="33">
        <f>C187*VLOOKUP($A$180,Ταρίφες!$A$6:$G$23,$K$7,FALSE)*(1+$F$3)^(B187-1)</f>
        <v>40508.492085385682</v>
      </c>
      <c r="F187" s="46">
        <f t="shared" si="103"/>
        <v>-2297.3713352985596</v>
      </c>
      <c r="G187" s="47">
        <f t="shared" si="104"/>
        <v>-918.94853411942381</v>
      </c>
      <c r="H187" s="47">
        <f t="shared" si="105"/>
        <v>-3216.3198694179837</v>
      </c>
      <c r="I187" s="46">
        <f t="shared" si="106"/>
        <v>-5169.0855044217587</v>
      </c>
      <c r="J187" s="47">
        <f t="shared" si="109"/>
        <v>-7980</v>
      </c>
      <c r="K187" s="47">
        <f t="shared" si="110"/>
        <v>-9909.1688089776289</v>
      </c>
      <c r="L187" s="47">
        <f t="shared" si="111"/>
        <v>-5440.9593789532692</v>
      </c>
      <c r="M187" s="47">
        <f t="shared" si="112"/>
        <v>36183.018917859401</v>
      </c>
      <c r="N187" s="47">
        <f t="shared" si="113"/>
        <v>23465.807463174686</v>
      </c>
      <c r="O187" s="34"/>
      <c r="P187" s="36">
        <f t="shared" si="107"/>
        <v>0</v>
      </c>
      <c r="Q187" s="35"/>
      <c r="R187" s="33"/>
      <c r="S187" s="43"/>
      <c r="T187" s="19"/>
      <c r="U187" s="27">
        <f t="shared" si="114"/>
        <v>36183.018917859401</v>
      </c>
      <c r="V187" s="28">
        <f t="shared" si="114"/>
        <v>23465.807463174686</v>
      </c>
      <c r="W187" s="43"/>
      <c r="X187" s="19"/>
      <c r="Y187" s="42">
        <f t="shared" si="89"/>
        <v>0</v>
      </c>
      <c r="Z187" s="42">
        <f t="shared" si="89"/>
        <v>0</v>
      </c>
    </row>
    <row r="188" spans="1:26" hidden="1" outlineLevel="1" x14ac:dyDescent="0.25">
      <c r="A188" s="18"/>
      <c r="B188" s="38">
        <f t="shared" si="115"/>
        <v>9</v>
      </c>
      <c r="C188" s="54">
        <f t="shared" si="108"/>
        <v>121.52547625615703</v>
      </c>
      <c r="D188" s="33">
        <f>C188*VLOOKUP($A$180,Ταρίφες!$A$6:$G$23,$K$6,FALSE)*(1+$F$3)^(B188-1)</f>
        <v>57116.973840393803</v>
      </c>
      <c r="E188" s="33">
        <f>C188*VLOOKUP($A$180,Ταρίφες!$A$6:$G$23,$K$7,FALSE)*(1+$F$3)^(B188-1)</f>
        <v>40103.407164531818</v>
      </c>
      <c r="F188" s="46">
        <f t="shared" si="103"/>
        <v>-2343.318762004531</v>
      </c>
      <c r="G188" s="47">
        <f t="shared" si="104"/>
        <v>-937.32750480181244</v>
      </c>
      <c r="H188" s="47">
        <f t="shared" si="105"/>
        <v>-3280.6462668063436</v>
      </c>
      <c r="I188" s="46">
        <f t="shared" si="106"/>
        <v>-5272.4672145101949</v>
      </c>
      <c r="J188" s="47">
        <f t="shared" si="109"/>
        <v>-7980</v>
      </c>
      <c r="K188" s="47">
        <f t="shared" si="110"/>
        <v>-9698.8356639904396</v>
      </c>
      <c r="L188" s="47">
        <f t="shared" si="111"/>
        <v>-5275.3083282663238</v>
      </c>
      <c r="M188" s="47">
        <f t="shared" si="112"/>
        <v>35584.378428280485</v>
      </c>
      <c r="N188" s="47">
        <f t="shared" si="113"/>
        <v>22994.339088142613</v>
      </c>
      <c r="O188" s="34"/>
      <c r="P188" s="36">
        <f t="shared" si="107"/>
        <v>0</v>
      </c>
      <c r="Q188" s="35"/>
      <c r="R188" s="33"/>
      <c r="S188" s="43"/>
      <c r="T188" s="19"/>
      <c r="U188" s="27">
        <f t="shared" si="114"/>
        <v>35584.378428280485</v>
      </c>
      <c r="V188" s="28">
        <f t="shared" si="114"/>
        <v>22994.339088142613</v>
      </c>
      <c r="W188" s="43"/>
      <c r="X188" s="19"/>
      <c r="Y188" s="42">
        <f t="shared" si="89"/>
        <v>0</v>
      </c>
      <c r="Z188" s="42">
        <f t="shared" si="89"/>
        <v>0</v>
      </c>
    </row>
    <row r="189" spans="1:26" hidden="1" outlineLevel="1" x14ac:dyDescent="0.25">
      <c r="A189" s="18"/>
      <c r="B189" s="38">
        <f t="shared" si="115"/>
        <v>10</v>
      </c>
      <c r="C189" s="54">
        <f t="shared" si="108"/>
        <v>120.31022149359546</v>
      </c>
      <c r="D189" s="33">
        <f>C189*VLOOKUP($A$180,Ταρίφες!$A$6:$G$23,$K$6,FALSE)*(1+$F$3)^(B189-1)</f>
        <v>56545.804101989866</v>
      </c>
      <c r="E189" s="33">
        <f>C189*VLOOKUP($A$180,Ταρίφες!$A$6:$G$23,$K$7,FALSE)*(1+$F$3)^(B189-1)</f>
        <v>39702.373092886504</v>
      </c>
      <c r="F189" s="46">
        <f t="shared" si="103"/>
        <v>-2390.1851372446217</v>
      </c>
      <c r="G189" s="47">
        <f t="shared" si="104"/>
        <v>-956.07405489784867</v>
      </c>
      <c r="H189" s="47">
        <f t="shared" si="105"/>
        <v>-3346.2591921424705</v>
      </c>
      <c r="I189" s="46">
        <f t="shared" si="106"/>
        <v>-5377.9165588003989</v>
      </c>
      <c r="J189" s="47">
        <f t="shared" si="109"/>
        <v>-7980</v>
      </c>
      <c r="K189" s="47">
        <f t="shared" si="110"/>
        <v>-9488.7959813151774</v>
      </c>
      <c r="L189" s="47">
        <f t="shared" si="111"/>
        <v>-5109.5039189483032</v>
      </c>
      <c r="M189" s="47">
        <f t="shared" si="112"/>
        <v>34986.573177589351</v>
      </c>
      <c r="N189" s="47">
        <f t="shared" si="113"/>
        <v>22522.434230852861</v>
      </c>
      <c r="O189" s="34"/>
      <c r="P189" s="36">
        <f t="shared" si="107"/>
        <v>0</v>
      </c>
      <c r="Q189" s="35"/>
      <c r="R189" s="33"/>
      <c r="S189" s="43"/>
      <c r="T189" s="19"/>
      <c r="U189" s="27">
        <f t="shared" si="114"/>
        <v>34986.573177589351</v>
      </c>
      <c r="V189" s="28">
        <f t="shared" si="114"/>
        <v>22522.434230852861</v>
      </c>
      <c r="W189" s="43"/>
      <c r="X189" s="19"/>
      <c r="Y189" s="42">
        <f t="shared" si="89"/>
        <v>0</v>
      </c>
      <c r="Z189" s="42">
        <f t="shared" si="89"/>
        <v>0</v>
      </c>
    </row>
    <row r="190" spans="1:26" hidden="1" outlineLevel="1" x14ac:dyDescent="0.25">
      <c r="A190" s="18"/>
      <c r="B190" s="38">
        <f t="shared" si="115"/>
        <v>11</v>
      </c>
      <c r="C190" s="54">
        <f t="shared" si="108"/>
        <v>119.10711927865951</v>
      </c>
      <c r="D190" s="33">
        <f>C190*VLOOKUP($A$180,Ταρίφες!$A$6:$G$23,$K$6,FALSE)*(1+$F$3)^(B190-1)</f>
        <v>55980.346060969969</v>
      </c>
      <c r="E190" s="33">
        <f>C190*VLOOKUP($A$180,Ταρίφες!$A$6:$G$23,$K$7,FALSE)*(1+$F$3)^(B190-1)</f>
        <v>39305.34936195764</v>
      </c>
      <c r="F190" s="46">
        <f t="shared" si="103"/>
        <v>-2437.9888399895144</v>
      </c>
      <c r="G190" s="47">
        <f t="shared" si="104"/>
        <v>-975.1955359958057</v>
      </c>
      <c r="H190" s="47">
        <f t="shared" si="105"/>
        <v>-3413.18437598532</v>
      </c>
      <c r="I190" s="46">
        <f t="shared" si="106"/>
        <v>-5485.4748899764072</v>
      </c>
      <c r="J190" s="47">
        <f t="shared" si="109"/>
        <v>-7980</v>
      </c>
      <c r="K190" s="47">
        <f t="shared" si="110"/>
        <v>-9279.01062894596</v>
      </c>
      <c r="L190" s="47">
        <f t="shared" si="111"/>
        <v>-4943.5114872027552</v>
      </c>
      <c r="M190" s="47">
        <f t="shared" si="112"/>
        <v>34389.491790076965</v>
      </c>
      <c r="N190" s="47">
        <f t="shared" si="113"/>
        <v>22049.99423280784</v>
      </c>
      <c r="O190" s="34"/>
      <c r="P190" s="36">
        <f t="shared" si="107"/>
        <v>0</v>
      </c>
      <c r="Q190" s="35"/>
      <c r="R190" s="33"/>
      <c r="S190" s="43"/>
      <c r="T190" s="19"/>
      <c r="U190" s="27">
        <f t="shared" si="114"/>
        <v>34389.491790076965</v>
      </c>
      <c r="V190" s="28">
        <f t="shared" si="114"/>
        <v>22049.99423280784</v>
      </c>
      <c r="W190" s="43"/>
      <c r="X190" s="19"/>
      <c r="Y190" s="42">
        <f t="shared" si="89"/>
        <v>0</v>
      </c>
      <c r="Z190" s="42">
        <f t="shared" si="89"/>
        <v>0</v>
      </c>
    </row>
    <row r="191" spans="1:26" hidden="1" outlineLevel="1" x14ac:dyDescent="0.25">
      <c r="A191" s="18"/>
      <c r="B191" s="38">
        <f t="shared" si="115"/>
        <v>12</v>
      </c>
      <c r="C191" s="54">
        <f t="shared" si="108"/>
        <v>117.91604808587292</v>
      </c>
      <c r="D191" s="33">
        <f>C191*VLOOKUP($A$180,Ταρίφες!$A$6:$G$23,$K$6,FALSE)*(1+$F$3)^(B191-1)</f>
        <v>55420.54260036027</v>
      </c>
      <c r="E191" s="33">
        <f>C191*VLOOKUP($A$180,Ταρίφες!$A$6:$G$23,$K$7,FALSE)*(1+$F$3)^(B191-1)</f>
        <v>38912.295868338064</v>
      </c>
      <c r="F191" s="46">
        <f t="shared" si="103"/>
        <v>-2486.7486167893039</v>
      </c>
      <c r="G191" s="47">
        <f t="shared" si="104"/>
        <v>-994.69944671572159</v>
      </c>
      <c r="H191" s="47">
        <f t="shared" si="105"/>
        <v>-3481.4480635050259</v>
      </c>
      <c r="I191" s="46">
        <f t="shared" si="106"/>
        <v>-5595.1843877759338</v>
      </c>
      <c r="J191" s="47">
        <f t="shared" si="109"/>
        <v>-7980</v>
      </c>
      <c r="K191" s="47">
        <f t="shared" si="110"/>
        <v>-9069.4401422493138</v>
      </c>
      <c r="L191" s="47">
        <f t="shared" si="111"/>
        <v>-4777.29599192354</v>
      </c>
      <c r="M191" s="47">
        <f t="shared" si="112"/>
        <v>33793.021943324973</v>
      </c>
      <c r="N191" s="47">
        <f t="shared" si="113"/>
        <v>21576.919361628537</v>
      </c>
      <c r="O191" s="34"/>
      <c r="P191" s="36">
        <f t="shared" si="107"/>
        <v>0</v>
      </c>
      <c r="Q191" s="35"/>
      <c r="R191" s="33"/>
      <c r="S191" s="43"/>
      <c r="T191" s="19"/>
      <c r="U191" s="27">
        <f t="shared" si="114"/>
        <v>33793.021943324973</v>
      </c>
      <c r="V191" s="28">
        <f t="shared" si="114"/>
        <v>21576.919361628537</v>
      </c>
      <c r="W191" s="43"/>
      <c r="X191" s="19"/>
      <c r="Y191" s="42">
        <f t="shared" si="89"/>
        <v>0</v>
      </c>
      <c r="Z191" s="42">
        <f t="shared" si="89"/>
        <v>0</v>
      </c>
    </row>
    <row r="192" spans="1:26" hidden="1" outlineLevel="1" x14ac:dyDescent="0.25">
      <c r="A192" s="18"/>
      <c r="B192" s="38">
        <f t="shared" si="115"/>
        <v>13</v>
      </c>
      <c r="C192" s="54">
        <f t="shared" si="108"/>
        <v>116.73688760501419</v>
      </c>
      <c r="D192" s="33">
        <f>C192*VLOOKUP($A$180,Ταρίφες!$A$6:$G$23,$K$6,FALSE)*(1+$F$3)^(B192-1)</f>
        <v>54866.337174356668</v>
      </c>
      <c r="E192" s="33">
        <f>C192*VLOOKUP($A$180,Ταρίφες!$A$6:$G$23,$K$7,FALSE)*(1+$F$3)^(B192-1)</f>
        <v>38523.172909654684</v>
      </c>
      <c r="F192" s="46">
        <f t="shared" si="103"/>
        <v>-2536.4835891250905</v>
      </c>
      <c r="G192" s="47">
        <f t="shared" si="104"/>
        <v>-1014.5934356500362</v>
      </c>
      <c r="H192" s="47">
        <f t="shared" si="105"/>
        <v>-3551.0770247751266</v>
      </c>
      <c r="I192" s="46">
        <f t="shared" si="106"/>
        <v>-5707.0880755314538</v>
      </c>
      <c r="J192" s="47">
        <f t="shared" si="109"/>
        <v>-7980</v>
      </c>
      <c r="K192" s="47">
        <f t="shared" si="110"/>
        <v>-8860.0447128114902</v>
      </c>
      <c r="L192" s="47">
        <f t="shared" si="111"/>
        <v>-4610.8220039889748</v>
      </c>
      <c r="M192" s="47">
        <f t="shared" si="112"/>
        <v>33197.050336463471</v>
      </c>
      <c r="N192" s="47">
        <f t="shared" si="113"/>
        <v>21103.108780584003</v>
      </c>
      <c r="O192" s="34"/>
      <c r="P192" s="36">
        <f t="shared" si="107"/>
        <v>0</v>
      </c>
      <c r="Q192" s="35"/>
      <c r="R192" s="33"/>
      <c r="S192" s="43"/>
      <c r="T192" s="19"/>
      <c r="U192" s="27">
        <f t="shared" si="114"/>
        <v>33197.050336463471</v>
      </c>
      <c r="V192" s="28">
        <f t="shared" si="114"/>
        <v>21103.108780584003</v>
      </c>
      <c r="W192" s="43"/>
      <c r="X192" s="19"/>
      <c r="Y192" s="42">
        <f t="shared" si="89"/>
        <v>0</v>
      </c>
      <c r="Z192" s="42">
        <f t="shared" si="89"/>
        <v>0</v>
      </c>
    </row>
    <row r="193" spans="1:26" hidden="1" outlineLevel="1" x14ac:dyDescent="0.25">
      <c r="A193" s="18"/>
      <c r="B193" s="38">
        <f t="shared" si="115"/>
        <v>14</v>
      </c>
      <c r="C193" s="54">
        <f t="shared" si="108"/>
        <v>115.56951872896404</v>
      </c>
      <c r="D193" s="33">
        <f>C193*VLOOKUP($A$180,Ταρίφες!$A$6:$G$23,$K$6,FALSE)*(1+$F$3)^(B193-1)</f>
        <v>54317.673802613099</v>
      </c>
      <c r="E193" s="33">
        <f>C193*VLOOKUP($A$180,Ταρίφες!$A$6:$G$23,$K$7,FALSE)*(1+$F$3)^(B193-1)</f>
        <v>38137.941180558133</v>
      </c>
      <c r="F193" s="46">
        <f t="shared" si="103"/>
        <v>-2587.213260907592</v>
      </c>
      <c r="G193" s="47">
        <f t="shared" si="104"/>
        <v>-1034.8853043630368</v>
      </c>
      <c r="H193" s="47">
        <f t="shared" si="105"/>
        <v>-3622.098565270629</v>
      </c>
      <c r="I193" s="46">
        <f t="shared" si="106"/>
        <v>-5821.2298370420822</v>
      </c>
      <c r="J193" s="47">
        <f t="shared" si="109"/>
        <v>-7980</v>
      </c>
      <c r="K193" s="47">
        <f t="shared" si="110"/>
        <v>-8650.7841771077365</v>
      </c>
      <c r="L193" s="47">
        <f t="shared" si="111"/>
        <v>-4444.0536953734463</v>
      </c>
      <c r="M193" s="47">
        <f t="shared" si="112"/>
        <v>32601.46265792202</v>
      </c>
      <c r="N193" s="47">
        <f t="shared" si="113"/>
        <v>20628.46051760135</v>
      </c>
      <c r="O193" s="34"/>
      <c r="P193" s="36">
        <f t="shared" si="107"/>
        <v>0</v>
      </c>
      <c r="Q193" s="35"/>
      <c r="R193" s="33"/>
      <c r="S193" s="43"/>
      <c r="T193" s="19"/>
      <c r="U193" s="27">
        <f t="shared" si="114"/>
        <v>32601.46265792202</v>
      </c>
      <c r="V193" s="28">
        <f t="shared" si="114"/>
        <v>20628.46051760135</v>
      </c>
      <c r="W193" s="43"/>
      <c r="X193" s="19"/>
      <c r="Y193" s="42">
        <f t="shared" si="89"/>
        <v>0</v>
      </c>
      <c r="Z193" s="42">
        <f t="shared" si="89"/>
        <v>0</v>
      </c>
    </row>
    <row r="194" spans="1:26" hidden="1" outlineLevel="1" x14ac:dyDescent="0.25">
      <c r="A194" s="18"/>
      <c r="B194" s="38">
        <f t="shared" si="115"/>
        <v>15</v>
      </c>
      <c r="C194" s="54">
        <f t="shared" si="108"/>
        <v>114.4138235416744</v>
      </c>
      <c r="D194" s="33">
        <f>C194*VLOOKUP($A$180,Ταρίφες!$A$6:$G$23,$K$6,FALSE)*(1+$F$3)^(B194-1)</f>
        <v>53774.497064586969</v>
      </c>
      <c r="E194" s="33">
        <f>C194*VLOOKUP($A$180,Ταρίφες!$A$6:$G$23,$K$7,FALSE)*(1+$F$3)^(B194-1)</f>
        <v>37756.561768752552</v>
      </c>
      <c r="F194" s="46">
        <f t="shared" si="103"/>
        <v>-2638.9575261257442</v>
      </c>
      <c r="G194" s="47">
        <f t="shared" si="104"/>
        <v>-1055.5830104502977</v>
      </c>
      <c r="H194" s="47">
        <f t="shared" si="105"/>
        <v>-3694.5405365760421</v>
      </c>
      <c r="I194" s="46">
        <f t="shared" si="106"/>
        <v>-5937.6544337829246</v>
      </c>
      <c r="J194" s="47">
        <f t="shared" si="109"/>
        <v>-7980</v>
      </c>
      <c r="K194" s="47">
        <f t="shared" si="110"/>
        <v>-8441.6180049895102</v>
      </c>
      <c r="L194" s="47">
        <f t="shared" si="111"/>
        <v>-4276.9548280725612</v>
      </c>
      <c r="M194" s="47">
        <f t="shared" si="112"/>
        <v>32006.143552662448</v>
      </c>
      <c r="N194" s="47">
        <f t="shared" si="113"/>
        <v>20152.871433744982</v>
      </c>
      <c r="O194" s="34"/>
      <c r="P194" s="36">
        <f t="shared" si="107"/>
        <v>0</v>
      </c>
      <c r="Q194" s="35"/>
      <c r="R194" s="33"/>
      <c r="S194" s="43"/>
      <c r="T194" s="19"/>
      <c r="U194" s="27">
        <f t="shared" si="114"/>
        <v>32006.143552662448</v>
      </c>
      <c r="V194" s="28">
        <f t="shared" si="114"/>
        <v>20152.871433744982</v>
      </c>
      <c r="W194" s="43"/>
      <c r="X194" s="19"/>
      <c r="Y194" s="42">
        <f t="shared" si="89"/>
        <v>0</v>
      </c>
      <c r="Z194" s="42">
        <f t="shared" si="89"/>
        <v>0</v>
      </c>
    </row>
    <row r="195" spans="1:26" hidden="1" outlineLevel="1" x14ac:dyDescent="0.25">
      <c r="A195" s="18"/>
      <c r="B195" s="38">
        <f t="shared" si="115"/>
        <v>16</v>
      </c>
      <c r="C195" s="54">
        <f t="shared" si="108"/>
        <v>113.26968530625766</v>
      </c>
      <c r="D195" s="33">
        <f>C195*VLOOKUP($A$180,Ταρίφες!$A$6:$G$23,$K$6,FALSE)*(1+$F$3)^(B195-1)</f>
        <v>53236.752093941097</v>
      </c>
      <c r="E195" s="33">
        <f>C195*VLOOKUP($A$180,Ταρίφες!$A$6:$G$23,$K$7,FALSE)*(1+$F$3)^(B195-1)</f>
        <v>37378.996151065025</v>
      </c>
      <c r="F195" s="46">
        <f t="shared" si="103"/>
        <v>-2691.7366766482583</v>
      </c>
      <c r="G195" s="47">
        <f t="shared" si="104"/>
        <v>-1076.6946706593035</v>
      </c>
      <c r="H195" s="47">
        <f t="shared" si="105"/>
        <v>-3768.4313473075617</v>
      </c>
      <c r="I195" s="46">
        <f t="shared" si="106"/>
        <v>-6056.4075224585813</v>
      </c>
      <c r="J195" s="47">
        <f t="shared" si="109"/>
        <v>-7980</v>
      </c>
      <c r="K195" s="47">
        <f t="shared" si="110"/>
        <v>-8232.505287985523</v>
      </c>
      <c r="L195" s="47">
        <f t="shared" si="111"/>
        <v>-4109.4887428377442</v>
      </c>
      <c r="M195" s="47">
        <f t="shared" si="112"/>
        <v>31410.976588881873</v>
      </c>
      <c r="N195" s="47">
        <f t="shared" si="113"/>
        <v>19676.237191153577</v>
      </c>
      <c r="O195" s="34"/>
      <c r="P195" s="36">
        <f t="shared" si="107"/>
        <v>0</v>
      </c>
      <c r="Q195" s="35"/>
      <c r="R195" s="33"/>
      <c r="S195" s="43"/>
      <c r="T195" s="19"/>
      <c r="U195" s="27">
        <f t="shared" si="114"/>
        <v>31410.976588881873</v>
      </c>
      <c r="V195" s="28">
        <f t="shared" si="114"/>
        <v>19676.237191153577</v>
      </c>
      <c r="W195" s="43"/>
      <c r="X195" s="19"/>
      <c r="Y195" s="42">
        <f t="shared" si="89"/>
        <v>0</v>
      </c>
      <c r="Z195" s="42">
        <f t="shared" si="89"/>
        <v>0</v>
      </c>
    </row>
    <row r="196" spans="1:26" hidden="1" outlineLevel="1" x14ac:dyDescent="0.25">
      <c r="A196" s="18"/>
      <c r="B196" s="38">
        <f t="shared" si="115"/>
        <v>17</v>
      </c>
      <c r="C196" s="54">
        <f t="shared" si="108"/>
        <v>112.13698845319507</v>
      </c>
      <c r="D196" s="33">
        <f>C196*VLOOKUP($A$180,Ταρίφες!$A$6:$G$23,$K$6,FALSE)*(1+$F$3)^(B196-1)</f>
        <v>52704.384573001684</v>
      </c>
      <c r="E196" s="33">
        <f>C196*VLOOKUP($A$180,Ταρίφες!$A$6:$G$23,$K$7,FALSE)*(1+$F$3)^(B196-1)</f>
        <v>37005.206189554374</v>
      </c>
      <c r="F196" s="46">
        <f t="shared" si="103"/>
        <v>-2745.5714101812241</v>
      </c>
      <c r="G196" s="47">
        <f t="shared" si="104"/>
        <v>-1098.2285640724897</v>
      </c>
      <c r="H196" s="47">
        <f t="shared" si="105"/>
        <v>-3843.7999742537136</v>
      </c>
      <c r="I196" s="46">
        <f t="shared" si="106"/>
        <v>-6177.5356729077539</v>
      </c>
      <c r="J196" s="47">
        <f t="shared" si="109"/>
        <v>-7980</v>
      </c>
      <c r="K196" s="47">
        <f t="shared" si="110"/>
        <v>-8023.4047274124905</v>
      </c>
      <c r="L196" s="47">
        <f t="shared" si="111"/>
        <v>-3941.6183477161899</v>
      </c>
      <c r="M196" s="47">
        <f t="shared" si="112"/>
        <v>30815.844224174012</v>
      </c>
      <c r="N196" s="47">
        <f t="shared" si="113"/>
        <v>19198.452220423002</v>
      </c>
      <c r="O196" s="34"/>
      <c r="P196" s="36">
        <f t="shared" si="107"/>
        <v>0</v>
      </c>
      <c r="Q196" s="35"/>
      <c r="R196" s="33"/>
      <c r="S196" s="43"/>
      <c r="T196" s="19"/>
      <c r="U196" s="27">
        <f t="shared" si="114"/>
        <v>30815.844224174012</v>
      </c>
      <c r="V196" s="28">
        <f t="shared" si="114"/>
        <v>19198.452220423002</v>
      </c>
      <c r="W196" s="43"/>
      <c r="X196" s="19"/>
      <c r="Y196" s="42">
        <f t="shared" si="89"/>
        <v>0</v>
      </c>
      <c r="Z196" s="42">
        <f t="shared" si="89"/>
        <v>0</v>
      </c>
    </row>
    <row r="197" spans="1:26" hidden="1" outlineLevel="1" x14ac:dyDescent="0.25">
      <c r="A197" s="18"/>
      <c r="B197" s="38">
        <f t="shared" si="115"/>
        <v>18</v>
      </c>
      <c r="C197" s="54">
        <f t="shared" si="108"/>
        <v>111.01561856866311</v>
      </c>
      <c r="D197" s="33">
        <f>C197*VLOOKUP($A$180,Ταρίφες!$A$6:$G$23,$K$6,FALSE)*(1+$F$3)^(B197-1)</f>
        <v>52177.340727271665</v>
      </c>
      <c r="E197" s="33">
        <f>C197*VLOOKUP($A$180,Ταρίφες!$A$6:$G$23,$K$7,FALSE)*(1+$F$3)^(B197-1)</f>
        <v>36635.154127658825</v>
      </c>
      <c r="F197" s="46">
        <f t="shared" si="103"/>
        <v>-2800.4828383848489</v>
      </c>
      <c r="G197" s="47">
        <f t="shared" si="104"/>
        <v>-1120.1931353539396</v>
      </c>
      <c r="H197" s="47">
        <f t="shared" si="105"/>
        <v>-3920.6759737387883</v>
      </c>
      <c r="I197" s="46">
        <f t="shared" si="106"/>
        <v>-6301.0863863659097</v>
      </c>
      <c r="J197" s="47">
        <f t="shared" si="109"/>
        <v>-7980</v>
      </c>
      <c r="K197" s="47">
        <f t="shared" si="110"/>
        <v>-7814.2746222913265</v>
      </c>
      <c r="L197" s="47">
        <f t="shared" si="111"/>
        <v>-3773.3061063919886</v>
      </c>
      <c r="M197" s="47">
        <f t="shared" si="112"/>
        <v>30220.627771136853</v>
      </c>
      <c r="N197" s="47">
        <f t="shared" si="113"/>
        <v>18719.409687423351</v>
      </c>
      <c r="O197" s="34"/>
      <c r="P197" s="36">
        <f t="shared" si="107"/>
        <v>0</v>
      </c>
      <c r="Q197" s="35"/>
      <c r="R197" s="33"/>
      <c r="S197" s="43"/>
      <c r="T197" s="19"/>
      <c r="U197" s="27">
        <f t="shared" si="114"/>
        <v>30220.627771136853</v>
      </c>
      <c r="V197" s="28">
        <f t="shared" si="114"/>
        <v>18719.409687423351</v>
      </c>
      <c r="W197" s="43"/>
      <c r="X197" s="19"/>
      <c r="Y197" s="42">
        <f t="shared" si="89"/>
        <v>0</v>
      </c>
      <c r="Z197" s="42">
        <f t="shared" si="89"/>
        <v>0</v>
      </c>
    </row>
    <row r="198" spans="1:26" hidden="1" outlineLevel="1" x14ac:dyDescent="0.25">
      <c r="A198" s="18"/>
      <c r="B198" s="38">
        <f t="shared" si="115"/>
        <v>19</v>
      </c>
      <c r="C198" s="54">
        <f t="shared" si="108"/>
        <v>109.90546238297648</v>
      </c>
      <c r="D198" s="33">
        <f>C198*VLOOKUP($A$180,Ταρίφες!$A$6:$G$23,$K$6,FALSE)*(1+$F$3)^(B198-1)</f>
        <v>51655.567319998947</v>
      </c>
      <c r="E198" s="33">
        <f>C198*VLOOKUP($A$180,Ταρίφες!$A$6:$G$23,$K$7,FALSE)*(1+$F$3)^(B198-1)</f>
        <v>36268.80258638224</v>
      </c>
      <c r="F198" s="46">
        <f t="shared" si="103"/>
        <v>-2856.4924951525454</v>
      </c>
      <c r="G198" s="47">
        <f t="shared" si="104"/>
        <v>-1142.5969980610182</v>
      </c>
      <c r="H198" s="47">
        <f t="shared" si="105"/>
        <v>-3999.0894932135634</v>
      </c>
      <c r="I198" s="46">
        <f t="shared" si="106"/>
        <v>-6427.1081140932274</v>
      </c>
      <c r="J198" s="47">
        <f t="shared" si="109"/>
        <v>-7980</v>
      </c>
      <c r="K198" s="47">
        <f t="shared" si="110"/>
        <v>-7605.0728570644342</v>
      </c>
      <c r="L198" s="47">
        <f t="shared" si="111"/>
        <v>-3604.5140263240901</v>
      </c>
      <c r="M198" s="47">
        <f t="shared" si="112"/>
        <v>29625.207362414156</v>
      </c>
      <c r="N198" s="47">
        <f t="shared" si="113"/>
        <v>18239.001459537794</v>
      </c>
      <c r="O198" s="34"/>
      <c r="P198" s="36">
        <f t="shared" si="107"/>
        <v>0</v>
      </c>
      <c r="Q198" s="35"/>
      <c r="R198" s="33"/>
      <c r="S198" s="43"/>
      <c r="T198" s="19"/>
      <c r="U198" s="27">
        <f t="shared" si="114"/>
        <v>29625.207362414156</v>
      </c>
      <c r="V198" s="28">
        <f t="shared" si="114"/>
        <v>18239.001459537794</v>
      </c>
      <c r="W198" s="43"/>
      <c r="X198" s="19"/>
      <c r="Y198" s="42">
        <f t="shared" si="89"/>
        <v>0</v>
      </c>
      <c r="Z198" s="42">
        <f t="shared" si="89"/>
        <v>0</v>
      </c>
    </row>
    <row r="199" spans="1:26" hidden="1" outlineLevel="1" x14ac:dyDescent="0.25">
      <c r="A199" s="18"/>
      <c r="B199" s="38">
        <f>B198+1</f>
        <v>20</v>
      </c>
      <c r="C199" s="54">
        <f>C198*(1-$F$2)</f>
        <v>108.80640775914671</v>
      </c>
      <c r="D199" s="33">
        <f>C199*VLOOKUP($A$180,Ταρίφες!$A$6:$G$23,$K$6,FALSE)*(1+$F$3)^(B199-1)</f>
        <v>51139.01164679895</v>
      </c>
      <c r="E199" s="33">
        <f>C199*VLOOKUP($A$180,Ταρίφες!$A$6:$G$23,$K$7,FALSE)*(1+$F$3)^(B199-1)</f>
        <v>35906.114560518414</v>
      </c>
      <c r="F199" s="46">
        <f t="shared" si="103"/>
        <v>-2913.6223450555963</v>
      </c>
      <c r="G199" s="47">
        <f t="shared" si="104"/>
        <v>-1165.4489380222385</v>
      </c>
      <c r="H199" s="47">
        <f>-$K$4*(1+$F$4)^(B199-$B$12)</f>
        <v>-4079.0712830778348</v>
      </c>
      <c r="I199" s="46">
        <f>-(4500*(1+$F$4)^(B199-$B$12))</f>
        <v>-6555.6502763750914</v>
      </c>
      <c r="J199" s="47">
        <f t="shared" si="109"/>
        <v>-7980</v>
      </c>
      <c r="K199" s="47">
        <f>-(D199+SUM(F199:J199))*$F$5</f>
        <v>-7395.7568891097289</v>
      </c>
      <c r="L199" s="47">
        <f>-(E199+SUM(F199:J199))*$F$5</f>
        <v>-3435.2036466767895</v>
      </c>
      <c r="M199" s="47">
        <f>D199+SUM(F199:I199)+K199</f>
        <v>29029.461915158459</v>
      </c>
      <c r="N199" s="47">
        <f>E199+SUM(F199:I199)+L199</f>
        <v>17757.118071310862</v>
      </c>
      <c r="O199" s="34"/>
      <c r="P199" s="36">
        <f t="shared" si="107"/>
        <v>0</v>
      </c>
      <c r="Q199" s="35"/>
      <c r="R199" s="33"/>
      <c r="S199" s="43"/>
      <c r="T199" s="19"/>
      <c r="U199" s="27">
        <f>M199</f>
        <v>29029.461915158459</v>
      </c>
      <c r="V199" s="28">
        <f>N199</f>
        <v>17757.118071310862</v>
      </c>
      <c r="W199" s="43"/>
      <c r="X199" s="19"/>
      <c r="Y199" s="42">
        <f t="shared" si="89"/>
        <v>0</v>
      </c>
      <c r="Z199" s="42">
        <f t="shared" si="89"/>
        <v>0</v>
      </c>
    </row>
    <row r="200" spans="1:26" s="40" customFormat="1" hidden="1" outlineLevel="1" x14ac:dyDescent="0.25">
      <c r="O200" s="17"/>
      <c r="P200" s="36">
        <f t="shared" si="107"/>
        <v>0</v>
      </c>
      <c r="Q200" s="25"/>
      <c r="R200" s="22"/>
      <c r="S200" s="52"/>
      <c r="T200" s="44"/>
      <c r="U200" s="74">
        <f>O201</f>
        <v>-183500</v>
      </c>
      <c r="V200" s="74">
        <f>R201</f>
        <v>-128359.61589929648</v>
      </c>
      <c r="W200" s="52"/>
      <c r="X200" s="44"/>
      <c r="Y200" s="42">
        <f t="shared" si="89"/>
        <v>0</v>
      </c>
      <c r="Z200" s="42">
        <f t="shared" si="89"/>
        <v>0</v>
      </c>
    </row>
    <row r="201" spans="1:26" collapsed="1" x14ac:dyDescent="0.25">
      <c r="A201" s="32" t="str">
        <f>Ταρίφες!A19</f>
        <v>Β Τριμ. 2012</v>
      </c>
      <c r="B201" s="38">
        <f>1</f>
        <v>1</v>
      </c>
      <c r="C201" s="54">
        <f>$F$8*$K$2/1000</f>
        <v>131.69999999999999</v>
      </c>
      <c r="D201" s="33">
        <f>C201*VLOOKUP($A$201,Ταρίφες!$A$6:$G$23,$K$6,FALSE)*(1+$F$3)^(B201-1)</f>
        <v>60581.999999999993</v>
      </c>
      <c r="E201" s="33">
        <f>C201*VLOOKUP($A$201,Ταρίφες!$A$6:$G$23,$K$7,FALSE)*(1+$F$3)^(B201-1)</f>
        <v>41485.5</v>
      </c>
      <c r="F201" s="46">
        <f t="shared" ref="F201:F220" si="116">-($K$5*(1+$F$4)^(B201-$B$12))</f>
        <v>-2000</v>
      </c>
      <c r="G201" s="47">
        <f t="shared" ref="G201:G220" si="117">-$K$2*10*(1+$F$4)^(B201-$B$12)</f>
        <v>-800</v>
      </c>
      <c r="H201" s="47">
        <f t="shared" ref="H201:H219" si="118">-$K$4*(1+$F$4)^(B201-$B$12)</f>
        <v>-2800</v>
      </c>
      <c r="I201" s="46">
        <f t="shared" ref="I201:I219" si="119">-(4500*(1+$F$4)^(B201-$B$12))</f>
        <v>-4500</v>
      </c>
      <c r="J201" s="47">
        <f>$O$201*4%</f>
        <v>-7340</v>
      </c>
      <c r="K201" s="47">
        <f>-(D201+SUM(F201:J201))*$F$5</f>
        <v>-11216.919999999998</v>
      </c>
      <c r="L201" s="47">
        <f>-(E201+SUM(F201:J201))*$F$5</f>
        <v>-6251.83</v>
      </c>
      <c r="M201" s="47">
        <f>D201+SUM(F201:I201)+K201</f>
        <v>39265.079999999994</v>
      </c>
      <c r="N201" s="47">
        <f>E201+SUM(F201:I201)+L201</f>
        <v>25133.67</v>
      </c>
      <c r="O201" s="35">
        <f>-VLOOKUP(A201,'Κόστος Κατασκευής'!$A$4:$Q$17,$K$8,FALSE)</f>
        <v>-183500</v>
      </c>
      <c r="P201" s="36">
        <f>-O201*0.4</f>
        <v>73400</v>
      </c>
      <c r="Q201" s="36">
        <f>Q180*15/16</f>
        <v>-18259.615899296481</v>
      </c>
      <c r="R201" s="37">
        <f>SUM(O201:Q201)</f>
        <v>-128359.61589929648</v>
      </c>
      <c r="S201" s="42">
        <f>IRR(U200:U220)</f>
        <v>0.19339869393737241</v>
      </c>
      <c r="T201" s="42">
        <f>IRR(V200:V220)</f>
        <v>0.17044765228324521</v>
      </c>
      <c r="U201" s="27">
        <f>M201</f>
        <v>39265.079999999994</v>
      </c>
      <c r="V201" s="28">
        <f>N201</f>
        <v>25133.67</v>
      </c>
      <c r="W201" s="42">
        <f>'IRR ΔΣ Ισχύον'!S201</f>
        <v>0.19198688879736281</v>
      </c>
      <c r="X201" s="42">
        <f>'IRR ΔΣ Ισχύον'!T201</f>
        <v>0.15768574202806196</v>
      </c>
      <c r="Y201" s="42">
        <f t="shared" si="89"/>
        <v>1.4118051400096032E-3</v>
      </c>
      <c r="Z201" s="42">
        <f t="shared" si="89"/>
        <v>1.2761910255183251E-2</v>
      </c>
    </row>
    <row r="202" spans="1:26" hidden="1" outlineLevel="1" x14ac:dyDescent="0.25">
      <c r="A202" s="18"/>
      <c r="B202" s="38">
        <f>B201+1</f>
        <v>2</v>
      </c>
      <c r="C202" s="54">
        <f t="shared" ref="C202:C219" si="120">C201*(1-$F$2)</f>
        <v>130.38299999999998</v>
      </c>
      <c r="D202" s="33">
        <f>C202*VLOOKUP($A$201,Ταρίφες!$A$6:$G$23,$K$6,FALSE)*(1+$F$3)^(B202-1)</f>
        <v>59976.179999999993</v>
      </c>
      <c r="E202" s="33">
        <f>C202*VLOOKUP($A$201,Ταρίφες!$A$6:$G$23,$K$7,FALSE)*(1+$F$3)^(B202-1)</f>
        <v>41070.644999999997</v>
      </c>
      <c r="F202" s="46">
        <f t="shared" si="116"/>
        <v>-2040</v>
      </c>
      <c r="G202" s="47">
        <f t="shared" si="117"/>
        <v>-816</v>
      </c>
      <c r="H202" s="47">
        <f t="shared" si="118"/>
        <v>-2856</v>
      </c>
      <c r="I202" s="46">
        <f t="shared" si="119"/>
        <v>-4590</v>
      </c>
      <c r="J202" s="47">
        <f t="shared" ref="J202:J220" si="121">$O$201*4%</f>
        <v>-7340</v>
      </c>
      <c r="K202" s="47">
        <f t="shared" ref="K202:K219" si="122">-(D202+SUM(F202:J202))*$F$5</f>
        <v>-11006.886799999998</v>
      </c>
      <c r="L202" s="47">
        <f t="shared" ref="L202:L219" si="123">-(E202+SUM(F202:J202))*$F$5</f>
        <v>-6091.4476999999997</v>
      </c>
      <c r="M202" s="47">
        <f t="shared" ref="M202:M219" si="124">D202+SUM(F202:I202)+K202</f>
        <v>38667.293199999993</v>
      </c>
      <c r="N202" s="47">
        <f t="shared" ref="N202:N219" si="125">E202+SUM(F202:I202)+L202</f>
        <v>24677.197299999996</v>
      </c>
      <c r="O202" s="34"/>
      <c r="P202" s="36">
        <f t="shared" ref="P202:P265" si="126">-O202*0.4</f>
        <v>0</v>
      </c>
      <c r="Q202" s="35"/>
      <c r="R202" s="33"/>
      <c r="S202" s="43"/>
      <c r="T202" s="19"/>
      <c r="U202" s="27">
        <f t="shared" ref="U202:V219" si="127">M202</f>
        <v>38667.293199999993</v>
      </c>
      <c r="V202" s="28">
        <f t="shared" si="127"/>
        <v>24677.197299999996</v>
      </c>
      <c r="W202" s="43"/>
      <c r="X202" s="19"/>
      <c r="Y202" s="42">
        <f t="shared" si="89"/>
        <v>0</v>
      </c>
      <c r="Z202" s="42">
        <f t="shared" si="89"/>
        <v>0</v>
      </c>
    </row>
    <row r="203" spans="1:26" hidden="1" outlineLevel="1" x14ac:dyDescent="0.25">
      <c r="A203" s="18"/>
      <c r="B203" s="38">
        <f t="shared" ref="B203:B219" si="128">B202+1</f>
        <v>3</v>
      </c>
      <c r="C203" s="54">
        <f t="shared" si="120"/>
        <v>129.07916999999998</v>
      </c>
      <c r="D203" s="33">
        <f>C203*VLOOKUP($A$201,Ταρίφες!$A$6:$G$23,$K$6,FALSE)*(1+$F$3)^(B203-1)</f>
        <v>59376.418199999986</v>
      </c>
      <c r="E203" s="33">
        <f>C203*VLOOKUP($A$201,Ταρίφες!$A$6:$G$23,$K$7,FALSE)*(1+$F$3)^(B203-1)</f>
        <v>40659.938549999992</v>
      </c>
      <c r="F203" s="46">
        <f t="shared" si="116"/>
        <v>-2080.8000000000002</v>
      </c>
      <c r="G203" s="47">
        <f t="shared" si="117"/>
        <v>-832.31999999999994</v>
      </c>
      <c r="H203" s="47">
        <f t="shared" si="118"/>
        <v>-2913.12</v>
      </c>
      <c r="I203" s="46">
        <f t="shared" si="119"/>
        <v>-4681.8</v>
      </c>
      <c r="J203" s="47">
        <f t="shared" si="121"/>
        <v>-7340</v>
      </c>
      <c r="K203" s="47">
        <f t="shared" si="122"/>
        <v>-10797.378331999997</v>
      </c>
      <c r="L203" s="47">
        <f t="shared" si="123"/>
        <v>-5931.0936229999979</v>
      </c>
      <c r="M203" s="47">
        <f t="shared" si="124"/>
        <v>38070.999867999984</v>
      </c>
      <c r="N203" s="47">
        <f t="shared" si="125"/>
        <v>24220.804926999994</v>
      </c>
      <c r="O203" s="34"/>
      <c r="P203" s="36">
        <f t="shared" si="126"/>
        <v>0</v>
      </c>
      <c r="Q203" s="35"/>
      <c r="R203" s="33"/>
      <c r="S203" s="43"/>
      <c r="T203" s="19"/>
      <c r="U203" s="27">
        <f t="shared" si="127"/>
        <v>38070.999867999984</v>
      </c>
      <c r="V203" s="28">
        <f t="shared" si="127"/>
        <v>24220.804926999994</v>
      </c>
      <c r="W203" s="43"/>
      <c r="X203" s="19"/>
      <c r="Y203" s="42">
        <f t="shared" si="89"/>
        <v>0</v>
      </c>
      <c r="Z203" s="42">
        <f t="shared" si="89"/>
        <v>0</v>
      </c>
    </row>
    <row r="204" spans="1:26" hidden="1" outlineLevel="1" x14ac:dyDescent="0.25">
      <c r="A204" s="18"/>
      <c r="B204" s="38">
        <f t="shared" si="128"/>
        <v>4</v>
      </c>
      <c r="C204" s="54">
        <f t="shared" si="120"/>
        <v>127.78837829999998</v>
      </c>
      <c r="D204" s="33">
        <f>C204*VLOOKUP($A$201,Ταρίφες!$A$6:$G$23,$K$6,FALSE)*(1+$F$3)^(B204-1)</f>
        <v>58782.654017999987</v>
      </c>
      <c r="E204" s="33">
        <f>C204*VLOOKUP($A$201,Ταρίφες!$A$6:$G$23,$K$7,FALSE)*(1+$F$3)^(B204-1)</f>
        <v>40253.339164499994</v>
      </c>
      <c r="F204" s="46">
        <f t="shared" si="116"/>
        <v>-2122.4159999999997</v>
      </c>
      <c r="G204" s="47">
        <f t="shared" si="117"/>
        <v>-848.96639999999991</v>
      </c>
      <c r="H204" s="47">
        <f t="shared" si="118"/>
        <v>-2971.3824</v>
      </c>
      <c r="I204" s="46">
        <f t="shared" si="119"/>
        <v>-4775.4359999999997</v>
      </c>
      <c r="J204" s="47">
        <f t="shared" si="121"/>
        <v>-7340</v>
      </c>
      <c r="K204" s="47">
        <f t="shared" si="122"/>
        <v>-10588.357836679997</v>
      </c>
      <c r="L204" s="47">
        <f t="shared" si="123"/>
        <v>-5770.7359747699993</v>
      </c>
      <c r="M204" s="47">
        <f t="shared" si="124"/>
        <v>37476.095381319989</v>
      </c>
      <c r="N204" s="47">
        <f t="shared" si="125"/>
        <v>23764.402389729996</v>
      </c>
      <c r="O204" s="34"/>
      <c r="P204" s="36">
        <f t="shared" si="126"/>
        <v>0</v>
      </c>
      <c r="Q204" s="35"/>
      <c r="R204" s="33"/>
      <c r="S204" s="43"/>
      <c r="T204" s="19"/>
      <c r="U204" s="27">
        <f t="shared" si="127"/>
        <v>37476.095381319989</v>
      </c>
      <c r="V204" s="28">
        <f t="shared" si="127"/>
        <v>23764.402389729996</v>
      </c>
      <c r="W204" s="43"/>
      <c r="X204" s="19"/>
      <c r="Y204" s="42">
        <f t="shared" si="89"/>
        <v>0</v>
      </c>
      <c r="Z204" s="42">
        <f t="shared" si="89"/>
        <v>0</v>
      </c>
    </row>
    <row r="205" spans="1:26" hidden="1" outlineLevel="1" x14ac:dyDescent="0.25">
      <c r="A205" s="18"/>
      <c r="B205" s="38">
        <f t="shared" si="128"/>
        <v>5</v>
      </c>
      <c r="C205" s="54">
        <f t="shared" si="120"/>
        <v>126.51049451699997</v>
      </c>
      <c r="D205" s="33">
        <f>C205*VLOOKUP($A$201,Ταρίφες!$A$6:$G$23,$K$6,FALSE)*(1+$F$3)^(B205-1)</f>
        <v>58194.827477819985</v>
      </c>
      <c r="E205" s="33">
        <f>C205*VLOOKUP($A$201,Ταρίφες!$A$6:$G$23,$K$7,FALSE)*(1+$F$3)^(B205-1)</f>
        <v>39850.80577285499</v>
      </c>
      <c r="F205" s="46">
        <f t="shared" si="116"/>
        <v>-2164.8643200000001</v>
      </c>
      <c r="G205" s="47">
        <f t="shared" si="117"/>
        <v>-865.94572800000003</v>
      </c>
      <c r="H205" s="47">
        <f t="shared" si="118"/>
        <v>-3030.8100479999998</v>
      </c>
      <c r="I205" s="46">
        <f t="shared" si="119"/>
        <v>-4870.9447199999995</v>
      </c>
      <c r="J205" s="47">
        <f t="shared" si="121"/>
        <v>-7340</v>
      </c>
      <c r="K205" s="47">
        <f t="shared" si="122"/>
        <v>-10379.788292073197</v>
      </c>
      <c r="L205" s="47">
        <f t="shared" si="123"/>
        <v>-5610.3426487822981</v>
      </c>
      <c r="M205" s="47">
        <f t="shared" si="124"/>
        <v>36882.474369746793</v>
      </c>
      <c r="N205" s="47">
        <f t="shared" si="125"/>
        <v>23307.898308072694</v>
      </c>
      <c r="O205" s="34"/>
      <c r="P205" s="36">
        <f t="shared" si="126"/>
        <v>0</v>
      </c>
      <c r="Q205" s="35"/>
      <c r="R205" s="33"/>
      <c r="S205" s="43"/>
      <c r="T205" s="19"/>
      <c r="U205" s="27">
        <f t="shared" si="127"/>
        <v>36882.474369746793</v>
      </c>
      <c r="V205" s="28">
        <f t="shared" si="127"/>
        <v>23307.898308072694</v>
      </c>
      <c r="W205" s="43"/>
      <c r="X205" s="19"/>
      <c r="Y205" s="42">
        <f t="shared" ref="Y205:Z268" si="129">S205-W205</f>
        <v>0</v>
      </c>
      <c r="Z205" s="42">
        <f t="shared" si="129"/>
        <v>0</v>
      </c>
    </row>
    <row r="206" spans="1:26" hidden="1" outlineLevel="1" x14ac:dyDescent="0.25">
      <c r="A206" s="18"/>
      <c r="B206" s="38">
        <f t="shared" si="128"/>
        <v>6</v>
      </c>
      <c r="C206" s="54">
        <f t="shared" si="120"/>
        <v>125.24538957182997</v>
      </c>
      <c r="D206" s="33">
        <f>C206*VLOOKUP($A$201,Ταρίφες!$A$6:$G$23,$K$6,FALSE)*(1+$F$3)^(B206-1)</f>
        <v>57612.87920304179</v>
      </c>
      <c r="E206" s="33">
        <f>C206*VLOOKUP($A$201,Ταρίφες!$A$6:$G$23,$K$7,FALSE)*(1+$F$3)^(B206-1)</f>
        <v>39452.297715126442</v>
      </c>
      <c r="F206" s="46">
        <f t="shared" si="116"/>
        <v>-2208.1616064</v>
      </c>
      <c r="G206" s="47">
        <f t="shared" si="117"/>
        <v>-883.26464255999997</v>
      </c>
      <c r="H206" s="47">
        <f t="shared" si="118"/>
        <v>-3091.4262489600001</v>
      </c>
      <c r="I206" s="46">
        <f t="shared" si="119"/>
        <v>-4968.3636144000002</v>
      </c>
      <c r="J206" s="47">
        <f t="shared" si="121"/>
        <v>-7340</v>
      </c>
      <c r="K206" s="47">
        <f t="shared" si="122"/>
        <v>-10171.632403587666</v>
      </c>
      <c r="L206" s="47">
        <f t="shared" si="123"/>
        <v>-5449.8812167296755</v>
      </c>
      <c r="M206" s="47">
        <f t="shared" si="124"/>
        <v>36290.030687134124</v>
      </c>
      <c r="N206" s="47">
        <f t="shared" si="125"/>
        <v>22851.200386076769</v>
      </c>
      <c r="O206" s="34"/>
      <c r="P206" s="36">
        <f t="shared" si="126"/>
        <v>0</v>
      </c>
      <c r="Q206" s="35"/>
      <c r="R206" s="33"/>
      <c r="S206" s="43"/>
      <c r="T206" s="19"/>
      <c r="U206" s="27">
        <f t="shared" si="127"/>
        <v>36290.030687134124</v>
      </c>
      <c r="V206" s="28">
        <f t="shared" si="127"/>
        <v>22851.200386076769</v>
      </c>
      <c r="W206" s="43"/>
      <c r="X206" s="19"/>
      <c r="Y206" s="42">
        <f t="shared" si="129"/>
        <v>0</v>
      </c>
      <c r="Z206" s="42">
        <f t="shared" si="129"/>
        <v>0</v>
      </c>
    </row>
    <row r="207" spans="1:26" hidden="1" outlineLevel="1" x14ac:dyDescent="0.25">
      <c r="A207" s="18"/>
      <c r="B207" s="38">
        <f t="shared" si="128"/>
        <v>7</v>
      </c>
      <c r="C207" s="54">
        <f t="shared" si="120"/>
        <v>123.99293567611167</v>
      </c>
      <c r="D207" s="33">
        <f>C207*VLOOKUP($A$201,Ταρίφες!$A$6:$G$23,$K$6,FALSE)*(1+$F$3)^(B207-1)</f>
        <v>57036.750411011366</v>
      </c>
      <c r="E207" s="33">
        <f>C207*VLOOKUP($A$201,Ταρίφες!$A$6:$G$23,$K$7,FALSE)*(1+$F$3)^(B207-1)</f>
        <v>39057.774737975175</v>
      </c>
      <c r="F207" s="46">
        <f t="shared" si="116"/>
        <v>-2252.3248385280003</v>
      </c>
      <c r="G207" s="47">
        <f t="shared" si="117"/>
        <v>-900.92993541120006</v>
      </c>
      <c r="H207" s="47">
        <f t="shared" si="118"/>
        <v>-3153.2547739392003</v>
      </c>
      <c r="I207" s="46">
        <f t="shared" si="119"/>
        <v>-5067.7308866880003</v>
      </c>
      <c r="J207" s="47">
        <f t="shared" si="121"/>
        <v>-7340</v>
      </c>
      <c r="K207" s="47">
        <f t="shared" si="122"/>
        <v>-9963.852593875692</v>
      </c>
      <c r="L207" s="47">
        <f t="shared" si="123"/>
        <v>-5289.3189188862816</v>
      </c>
      <c r="M207" s="47">
        <f t="shared" si="124"/>
        <v>35698.657382569276</v>
      </c>
      <c r="N207" s="47">
        <f t="shared" si="125"/>
        <v>22394.215384522493</v>
      </c>
      <c r="O207" s="34"/>
      <c r="P207" s="36">
        <f t="shared" si="126"/>
        <v>0</v>
      </c>
      <c r="Q207" s="35"/>
      <c r="R207" s="33"/>
      <c r="S207" s="43"/>
      <c r="T207" s="19"/>
      <c r="U207" s="27">
        <f t="shared" si="127"/>
        <v>35698.657382569276</v>
      </c>
      <c r="V207" s="28">
        <f t="shared" si="127"/>
        <v>22394.215384522493</v>
      </c>
      <c r="W207" s="43"/>
      <c r="X207" s="19"/>
      <c r="Y207" s="42">
        <f t="shared" si="129"/>
        <v>0</v>
      </c>
      <c r="Z207" s="42">
        <f t="shared" si="129"/>
        <v>0</v>
      </c>
    </row>
    <row r="208" spans="1:26" hidden="1" outlineLevel="1" x14ac:dyDescent="0.25">
      <c r="A208" s="18"/>
      <c r="B208" s="38">
        <f t="shared" si="128"/>
        <v>8</v>
      </c>
      <c r="C208" s="54">
        <f t="shared" si="120"/>
        <v>122.75300631935055</v>
      </c>
      <c r="D208" s="33">
        <f>C208*VLOOKUP($A$201,Ταρίφες!$A$6:$G$23,$K$6,FALSE)*(1+$F$3)^(B208-1)</f>
        <v>56466.38290690125</v>
      </c>
      <c r="E208" s="33">
        <f>C208*VLOOKUP($A$201,Ταρίφες!$A$6:$G$23,$K$7,FALSE)*(1+$F$3)^(B208-1)</f>
        <v>38667.196990595425</v>
      </c>
      <c r="F208" s="46">
        <f t="shared" si="116"/>
        <v>-2297.3713352985596</v>
      </c>
      <c r="G208" s="47">
        <f t="shared" si="117"/>
        <v>-918.94853411942381</v>
      </c>
      <c r="H208" s="47">
        <f t="shared" si="118"/>
        <v>-3216.3198694179837</v>
      </c>
      <c r="I208" s="46">
        <f t="shared" si="119"/>
        <v>-5169.0855044217587</v>
      </c>
      <c r="J208" s="47">
        <f t="shared" si="121"/>
        <v>-7340</v>
      </c>
      <c r="K208" s="47">
        <f t="shared" si="122"/>
        <v>-9756.4109925473149</v>
      </c>
      <c r="L208" s="47">
        <f t="shared" si="123"/>
        <v>-5128.6226543078019</v>
      </c>
      <c r="M208" s="47">
        <f t="shared" si="124"/>
        <v>35108.246671096203</v>
      </c>
      <c r="N208" s="47">
        <f t="shared" si="125"/>
        <v>21936.849093029898</v>
      </c>
      <c r="O208" s="34"/>
      <c r="P208" s="36">
        <f t="shared" si="126"/>
        <v>0</v>
      </c>
      <c r="Q208" s="35"/>
      <c r="R208" s="33"/>
      <c r="S208" s="43"/>
      <c r="T208" s="19"/>
      <c r="U208" s="27">
        <f t="shared" si="127"/>
        <v>35108.246671096203</v>
      </c>
      <c r="V208" s="28">
        <f t="shared" si="127"/>
        <v>21936.849093029898</v>
      </c>
      <c r="W208" s="43"/>
      <c r="X208" s="19"/>
      <c r="Y208" s="42">
        <f t="shared" si="129"/>
        <v>0</v>
      </c>
      <c r="Z208" s="42">
        <f t="shared" si="129"/>
        <v>0</v>
      </c>
    </row>
    <row r="209" spans="1:26" hidden="1" outlineLevel="1" x14ac:dyDescent="0.25">
      <c r="A209" s="18"/>
      <c r="B209" s="38">
        <f t="shared" si="128"/>
        <v>9</v>
      </c>
      <c r="C209" s="54">
        <f t="shared" si="120"/>
        <v>121.52547625615703</v>
      </c>
      <c r="D209" s="33">
        <f>C209*VLOOKUP($A$201,Ταρίφες!$A$6:$G$23,$K$6,FALSE)*(1+$F$3)^(B209-1)</f>
        <v>55901.719077832233</v>
      </c>
      <c r="E209" s="33">
        <f>C209*VLOOKUP($A$201,Ταρίφες!$A$6:$G$23,$K$7,FALSE)*(1+$F$3)^(B209-1)</f>
        <v>38280.525020689463</v>
      </c>
      <c r="F209" s="46">
        <f t="shared" si="116"/>
        <v>-2343.318762004531</v>
      </c>
      <c r="G209" s="47">
        <f t="shared" si="117"/>
        <v>-937.32750480181244</v>
      </c>
      <c r="H209" s="47">
        <f t="shared" si="118"/>
        <v>-3280.6462668063436</v>
      </c>
      <c r="I209" s="46">
        <f t="shared" si="119"/>
        <v>-5272.4672145101949</v>
      </c>
      <c r="J209" s="47">
        <f t="shared" si="121"/>
        <v>-7340</v>
      </c>
      <c r="K209" s="47">
        <f t="shared" si="122"/>
        <v>-9549.2694257244311</v>
      </c>
      <c r="L209" s="47">
        <f t="shared" si="123"/>
        <v>-4967.7589708673122</v>
      </c>
      <c r="M209" s="47">
        <f t="shared" si="124"/>
        <v>34518.689903984923</v>
      </c>
      <c r="N209" s="47">
        <f t="shared" si="125"/>
        <v>21479.006301699272</v>
      </c>
      <c r="O209" s="34"/>
      <c r="P209" s="36">
        <f t="shared" si="126"/>
        <v>0</v>
      </c>
      <c r="Q209" s="35"/>
      <c r="R209" s="33"/>
      <c r="S209" s="43"/>
      <c r="T209" s="19"/>
      <c r="U209" s="27">
        <f t="shared" si="127"/>
        <v>34518.689903984923</v>
      </c>
      <c r="V209" s="28">
        <f t="shared" si="127"/>
        <v>21479.006301699272</v>
      </c>
      <c r="W209" s="43"/>
      <c r="X209" s="19"/>
      <c r="Y209" s="42">
        <f t="shared" si="129"/>
        <v>0</v>
      </c>
      <c r="Z209" s="42">
        <f t="shared" si="129"/>
        <v>0</v>
      </c>
    </row>
    <row r="210" spans="1:26" hidden="1" outlineLevel="1" x14ac:dyDescent="0.25">
      <c r="A210" s="18"/>
      <c r="B210" s="38">
        <f t="shared" si="128"/>
        <v>10</v>
      </c>
      <c r="C210" s="54">
        <f t="shared" si="120"/>
        <v>120.31022149359546</v>
      </c>
      <c r="D210" s="33">
        <f>C210*VLOOKUP($A$201,Ταρίφες!$A$6:$G$23,$K$6,FALSE)*(1+$F$3)^(B210-1)</f>
        <v>55342.70188705391</v>
      </c>
      <c r="E210" s="33">
        <f>C210*VLOOKUP($A$201,Ταρίφες!$A$6:$G$23,$K$7,FALSE)*(1+$F$3)^(B210-1)</f>
        <v>37897.719770482574</v>
      </c>
      <c r="F210" s="46">
        <f t="shared" si="116"/>
        <v>-2390.1851372446217</v>
      </c>
      <c r="G210" s="47">
        <f t="shared" si="117"/>
        <v>-956.07405489784867</v>
      </c>
      <c r="H210" s="47">
        <f t="shared" si="118"/>
        <v>-3346.2591921424705</v>
      </c>
      <c r="I210" s="46">
        <f t="shared" si="119"/>
        <v>-5377.9165588003989</v>
      </c>
      <c r="J210" s="47">
        <f t="shared" si="121"/>
        <v>-7340</v>
      </c>
      <c r="K210" s="47">
        <f t="shared" si="122"/>
        <v>-9342.389405431828</v>
      </c>
      <c r="L210" s="47">
        <f t="shared" si="123"/>
        <v>-4806.694055123281</v>
      </c>
      <c r="M210" s="47">
        <f t="shared" si="124"/>
        <v>33929.877538536741</v>
      </c>
      <c r="N210" s="47">
        <f t="shared" si="125"/>
        <v>21020.590772273954</v>
      </c>
      <c r="O210" s="34"/>
      <c r="P210" s="36">
        <f t="shared" si="126"/>
        <v>0</v>
      </c>
      <c r="Q210" s="35"/>
      <c r="R210" s="33"/>
      <c r="S210" s="43"/>
      <c r="T210" s="19"/>
      <c r="U210" s="27">
        <f t="shared" si="127"/>
        <v>33929.877538536741</v>
      </c>
      <c r="V210" s="28">
        <f t="shared" si="127"/>
        <v>21020.590772273954</v>
      </c>
      <c r="W210" s="43"/>
      <c r="X210" s="19"/>
      <c r="Y210" s="42">
        <f t="shared" si="129"/>
        <v>0</v>
      </c>
      <c r="Z210" s="42">
        <f t="shared" si="129"/>
        <v>0</v>
      </c>
    </row>
    <row r="211" spans="1:26" hidden="1" outlineLevel="1" x14ac:dyDescent="0.25">
      <c r="A211" s="18"/>
      <c r="B211" s="38">
        <f t="shared" si="128"/>
        <v>11</v>
      </c>
      <c r="C211" s="54">
        <f t="shared" si="120"/>
        <v>119.10711927865951</v>
      </c>
      <c r="D211" s="33">
        <f>C211*VLOOKUP($A$201,Ταρίφες!$A$6:$G$23,$K$6,FALSE)*(1+$F$3)^(B211-1)</f>
        <v>54789.274868183376</v>
      </c>
      <c r="E211" s="33">
        <f>C211*VLOOKUP($A$201,Ταρίφες!$A$6:$G$23,$K$7,FALSE)*(1+$F$3)^(B211-1)</f>
        <v>37518.742572777744</v>
      </c>
      <c r="F211" s="46">
        <f t="shared" si="116"/>
        <v>-2437.9888399895144</v>
      </c>
      <c r="G211" s="47">
        <f t="shared" si="117"/>
        <v>-975.1955359958057</v>
      </c>
      <c r="H211" s="47">
        <f t="shared" si="118"/>
        <v>-3413.18437598532</v>
      </c>
      <c r="I211" s="46">
        <f t="shared" si="119"/>
        <v>-5485.4748899764072</v>
      </c>
      <c r="J211" s="47">
        <f t="shared" si="121"/>
        <v>-7340</v>
      </c>
      <c r="K211" s="47">
        <f t="shared" si="122"/>
        <v>-9135.7321188214464</v>
      </c>
      <c r="L211" s="47">
        <f t="shared" si="123"/>
        <v>-4645.3937220159823</v>
      </c>
      <c r="M211" s="47">
        <f t="shared" si="124"/>
        <v>33341.699107414883</v>
      </c>
      <c r="N211" s="47">
        <f t="shared" si="125"/>
        <v>20561.505208814717</v>
      </c>
      <c r="O211" s="34"/>
      <c r="P211" s="36">
        <f t="shared" si="126"/>
        <v>0</v>
      </c>
      <c r="Q211" s="35"/>
      <c r="R211" s="33"/>
      <c r="S211" s="43"/>
      <c r="T211" s="19"/>
      <c r="U211" s="27">
        <f t="shared" si="127"/>
        <v>33341.699107414883</v>
      </c>
      <c r="V211" s="28">
        <f t="shared" si="127"/>
        <v>20561.505208814717</v>
      </c>
      <c r="W211" s="43"/>
      <c r="X211" s="19"/>
      <c r="Y211" s="42">
        <f t="shared" si="129"/>
        <v>0</v>
      </c>
      <c r="Z211" s="42">
        <f t="shared" si="129"/>
        <v>0</v>
      </c>
    </row>
    <row r="212" spans="1:26" hidden="1" outlineLevel="1" x14ac:dyDescent="0.25">
      <c r="A212" s="18"/>
      <c r="B212" s="38">
        <f t="shared" si="128"/>
        <v>12</v>
      </c>
      <c r="C212" s="54">
        <f t="shared" si="120"/>
        <v>117.91604808587292</v>
      </c>
      <c r="D212" s="33">
        <f>C212*VLOOKUP($A$201,Ταρίφες!$A$6:$G$23,$K$6,FALSE)*(1+$F$3)^(B212-1)</f>
        <v>54241.382119501541</v>
      </c>
      <c r="E212" s="33">
        <f>C212*VLOOKUP($A$201,Ταρίφες!$A$6:$G$23,$K$7,FALSE)*(1+$F$3)^(B212-1)</f>
        <v>37143.55514704997</v>
      </c>
      <c r="F212" s="46">
        <f t="shared" si="116"/>
        <v>-2486.7486167893039</v>
      </c>
      <c r="G212" s="47">
        <f t="shared" si="117"/>
        <v>-994.69944671572159</v>
      </c>
      <c r="H212" s="47">
        <f t="shared" si="118"/>
        <v>-3481.4480635050259</v>
      </c>
      <c r="I212" s="46">
        <f t="shared" si="119"/>
        <v>-5595.1843877759338</v>
      </c>
      <c r="J212" s="47">
        <f t="shared" si="121"/>
        <v>-7340</v>
      </c>
      <c r="K212" s="47">
        <f t="shared" si="122"/>
        <v>-8929.2584172260449</v>
      </c>
      <c r="L212" s="47">
        <f t="shared" si="123"/>
        <v>-4483.8234043886359</v>
      </c>
      <c r="M212" s="47">
        <f t="shared" si="124"/>
        <v>32754.043187489508</v>
      </c>
      <c r="N212" s="47">
        <f t="shared" si="125"/>
        <v>20101.651227875347</v>
      </c>
      <c r="O212" s="34"/>
      <c r="P212" s="36">
        <f t="shared" si="126"/>
        <v>0</v>
      </c>
      <c r="Q212" s="35"/>
      <c r="R212" s="33"/>
      <c r="S212" s="43"/>
      <c r="T212" s="19"/>
      <c r="U212" s="27">
        <f t="shared" si="127"/>
        <v>32754.043187489508</v>
      </c>
      <c r="V212" s="28">
        <f t="shared" si="127"/>
        <v>20101.651227875347</v>
      </c>
      <c r="W212" s="43"/>
      <c r="X212" s="19"/>
      <c r="Y212" s="42">
        <f t="shared" si="129"/>
        <v>0</v>
      </c>
      <c r="Z212" s="42">
        <f t="shared" si="129"/>
        <v>0</v>
      </c>
    </row>
    <row r="213" spans="1:26" hidden="1" outlineLevel="1" x14ac:dyDescent="0.25">
      <c r="A213" s="18"/>
      <c r="B213" s="38">
        <f t="shared" si="128"/>
        <v>13</v>
      </c>
      <c r="C213" s="54">
        <f t="shared" si="120"/>
        <v>116.73688760501419</v>
      </c>
      <c r="D213" s="33">
        <f>C213*VLOOKUP($A$201,Ταρίφες!$A$6:$G$23,$K$6,FALSE)*(1+$F$3)^(B213-1)</f>
        <v>53698.968298306529</v>
      </c>
      <c r="E213" s="33">
        <f>C213*VLOOKUP($A$201,Ταρίφες!$A$6:$G$23,$K$7,FALSE)*(1+$F$3)^(B213-1)</f>
        <v>36772.119595579468</v>
      </c>
      <c r="F213" s="46">
        <f t="shared" si="116"/>
        <v>-2536.4835891250905</v>
      </c>
      <c r="G213" s="47">
        <f t="shared" si="117"/>
        <v>-1014.5934356500362</v>
      </c>
      <c r="H213" s="47">
        <f t="shared" si="118"/>
        <v>-3551.0770247751266</v>
      </c>
      <c r="I213" s="46">
        <f t="shared" si="119"/>
        <v>-5707.0880755314538</v>
      </c>
      <c r="J213" s="47">
        <f t="shared" si="121"/>
        <v>-7340</v>
      </c>
      <c r="K213" s="47">
        <f t="shared" si="122"/>
        <v>-8722.9288050384548</v>
      </c>
      <c r="L213" s="47">
        <f t="shared" si="123"/>
        <v>-4321.9481423294183</v>
      </c>
      <c r="M213" s="47">
        <f t="shared" si="124"/>
        <v>32166.797368186366</v>
      </c>
      <c r="N213" s="47">
        <f t="shared" si="125"/>
        <v>19640.929328168342</v>
      </c>
      <c r="O213" s="34"/>
      <c r="P213" s="36">
        <f t="shared" si="126"/>
        <v>0</v>
      </c>
      <c r="Q213" s="35"/>
      <c r="R213" s="33"/>
      <c r="S213" s="43"/>
      <c r="T213" s="19"/>
      <c r="U213" s="27">
        <f t="shared" si="127"/>
        <v>32166.797368186366</v>
      </c>
      <c r="V213" s="28">
        <f t="shared" si="127"/>
        <v>19640.929328168342</v>
      </c>
      <c r="W213" s="43"/>
      <c r="X213" s="19"/>
      <c r="Y213" s="42">
        <f t="shared" si="129"/>
        <v>0</v>
      </c>
      <c r="Z213" s="42">
        <f t="shared" si="129"/>
        <v>0</v>
      </c>
    </row>
    <row r="214" spans="1:26" hidden="1" outlineLevel="1" x14ac:dyDescent="0.25">
      <c r="A214" s="18"/>
      <c r="B214" s="38">
        <f t="shared" si="128"/>
        <v>14</v>
      </c>
      <c r="C214" s="54">
        <f t="shared" si="120"/>
        <v>115.56951872896404</v>
      </c>
      <c r="D214" s="33">
        <f>C214*VLOOKUP($A$201,Ταρίφες!$A$6:$G$23,$K$6,FALSE)*(1+$F$3)^(B214-1)</f>
        <v>53161.97861532346</v>
      </c>
      <c r="E214" s="33">
        <f>C214*VLOOKUP($A$201,Ταρίφες!$A$6:$G$23,$K$7,FALSE)*(1+$F$3)^(B214-1)</f>
        <v>36404.398399623671</v>
      </c>
      <c r="F214" s="46">
        <f t="shared" si="116"/>
        <v>-2587.213260907592</v>
      </c>
      <c r="G214" s="47">
        <f t="shared" si="117"/>
        <v>-1034.8853043630368</v>
      </c>
      <c r="H214" s="47">
        <f t="shared" si="118"/>
        <v>-3622.098565270629</v>
      </c>
      <c r="I214" s="46">
        <f t="shared" si="119"/>
        <v>-5821.2298370420822</v>
      </c>
      <c r="J214" s="47">
        <f t="shared" si="121"/>
        <v>-7340</v>
      </c>
      <c r="K214" s="47">
        <f t="shared" si="122"/>
        <v>-8516.7034284124311</v>
      </c>
      <c r="L214" s="47">
        <f t="shared" si="123"/>
        <v>-4159.7325723304866</v>
      </c>
      <c r="M214" s="47">
        <f t="shared" si="124"/>
        <v>31579.848219327694</v>
      </c>
      <c r="N214" s="47">
        <f t="shared" si="125"/>
        <v>19179.238859709847</v>
      </c>
      <c r="O214" s="34"/>
      <c r="P214" s="36">
        <f t="shared" si="126"/>
        <v>0</v>
      </c>
      <c r="Q214" s="35"/>
      <c r="R214" s="33"/>
      <c r="S214" s="43"/>
      <c r="T214" s="19"/>
      <c r="U214" s="27">
        <f t="shared" si="127"/>
        <v>31579.848219327694</v>
      </c>
      <c r="V214" s="28">
        <f t="shared" si="127"/>
        <v>19179.238859709847</v>
      </c>
      <c r="W214" s="43"/>
      <c r="X214" s="19"/>
      <c r="Y214" s="42">
        <f t="shared" si="129"/>
        <v>0</v>
      </c>
      <c r="Z214" s="42">
        <f t="shared" si="129"/>
        <v>0</v>
      </c>
    </row>
    <row r="215" spans="1:26" hidden="1" outlineLevel="1" x14ac:dyDescent="0.25">
      <c r="A215" s="18"/>
      <c r="B215" s="38">
        <f t="shared" si="128"/>
        <v>15</v>
      </c>
      <c r="C215" s="54">
        <f t="shared" si="120"/>
        <v>114.4138235416744</v>
      </c>
      <c r="D215" s="33">
        <f>C215*VLOOKUP($A$201,Ταρίφες!$A$6:$G$23,$K$6,FALSE)*(1+$F$3)^(B215-1)</f>
        <v>52630.358829170225</v>
      </c>
      <c r="E215" s="33">
        <f>C215*VLOOKUP($A$201,Ταρίφες!$A$6:$G$23,$K$7,FALSE)*(1+$F$3)^(B215-1)</f>
        <v>36040.354415627437</v>
      </c>
      <c r="F215" s="46">
        <f t="shared" si="116"/>
        <v>-2638.9575261257442</v>
      </c>
      <c r="G215" s="47">
        <f t="shared" si="117"/>
        <v>-1055.5830104502977</v>
      </c>
      <c r="H215" s="47">
        <f t="shared" si="118"/>
        <v>-3694.5405365760421</v>
      </c>
      <c r="I215" s="46">
        <f t="shared" si="119"/>
        <v>-5937.6544337829246</v>
      </c>
      <c r="J215" s="47">
        <f t="shared" si="121"/>
        <v>-7340</v>
      </c>
      <c r="K215" s="47">
        <f t="shared" si="122"/>
        <v>-8310.5420637811567</v>
      </c>
      <c r="L215" s="47">
        <f t="shared" si="123"/>
        <v>-3997.1409162600312</v>
      </c>
      <c r="M215" s="47">
        <f t="shared" si="124"/>
        <v>30993.081258454062</v>
      </c>
      <c r="N215" s="47">
        <f t="shared" si="125"/>
        <v>18716.477992432396</v>
      </c>
      <c r="O215" s="34"/>
      <c r="P215" s="36">
        <f t="shared" si="126"/>
        <v>0</v>
      </c>
      <c r="Q215" s="35"/>
      <c r="R215" s="33"/>
      <c r="S215" s="43"/>
      <c r="T215" s="19"/>
      <c r="U215" s="27">
        <f t="shared" si="127"/>
        <v>30993.081258454062</v>
      </c>
      <c r="V215" s="28">
        <f t="shared" si="127"/>
        <v>18716.477992432396</v>
      </c>
      <c r="W215" s="43"/>
      <c r="X215" s="19"/>
      <c r="Y215" s="42">
        <f t="shared" si="129"/>
        <v>0</v>
      </c>
      <c r="Z215" s="42">
        <f t="shared" si="129"/>
        <v>0</v>
      </c>
    </row>
    <row r="216" spans="1:26" hidden="1" outlineLevel="1" x14ac:dyDescent="0.25">
      <c r="A216" s="18"/>
      <c r="B216" s="38">
        <f t="shared" si="128"/>
        <v>16</v>
      </c>
      <c r="C216" s="54">
        <f t="shared" si="120"/>
        <v>113.26968530625766</v>
      </c>
      <c r="D216" s="33">
        <f>C216*VLOOKUP($A$201,Ταρίφες!$A$6:$G$23,$K$6,FALSE)*(1+$F$3)^(B216-1)</f>
        <v>52104.055240878522</v>
      </c>
      <c r="E216" s="33">
        <f>C216*VLOOKUP($A$201,Ταρίφες!$A$6:$G$23,$K$7,FALSE)*(1+$F$3)^(B216-1)</f>
        <v>35679.950871471163</v>
      </c>
      <c r="F216" s="46">
        <f t="shared" si="116"/>
        <v>-2691.7366766482583</v>
      </c>
      <c r="G216" s="47">
        <f t="shared" si="117"/>
        <v>-1076.6946706593035</v>
      </c>
      <c r="H216" s="47">
        <f t="shared" si="118"/>
        <v>-3768.4313473075617</v>
      </c>
      <c r="I216" s="46">
        <f t="shared" si="119"/>
        <v>-6056.4075224585813</v>
      </c>
      <c r="J216" s="47">
        <f t="shared" si="121"/>
        <v>-7340</v>
      </c>
      <c r="K216" s="47">
        <f t="shared" si="122"/>
        <v>-8104.4041061892531</v>
      </c>
      <c r="L216" s="47">
        <f t="shared" si="123"/>
        <v>-3834.1369701433396</v>
      </c>
      <c r="M216" s="47">
        <f t="shared" si="124"/>
        <v>30406.380917615566</v>
      </c>
      <c r="N216" s="47">
        <f t="shared" si="125"/>
        <v>18252.54368425412</v>
      </c>
      <c r="O216" s="34"/>
      <c r="P216" s="36">
        <f t="shared" si="126"/>
        <v>0</v>
      </c>
      <c r="Q216" s="35"/>
      <c r="R216" s="33"/>
      <c r="S216" s="43"/>
      <c r="T216" s="19"/>
      <c r="U216" s="27">
        <f t="shared" si="127"/>
        <v>30406.380917615566</v>
      </c>
      <c r="V216" s="28">
        <f t="shared" si="127"/>
        <v>18252.54368425412</v>
      </c>
      <c r="W216" s="43"/>
      <c r="X216" s="19"/>
      <c r="Y216" s="42">
        <f t="shared" si="129"/>
        <v>0</v>
      </c>
      <c r="Z216" s="42">
        <f t="shared" si="129"/>
        <v>0</v>
      </c>
    </row>
    <row r="217" spans="1:26" hidden="1" outlineLevel="1" x14ac:dyDescent="0.25">
      <c r="A217" s="18"/>
      <c r="B217" s="38">
        <f t="shared" si="128"/>
        <v>17</v>
      </c>
      <c r="C217" s="54">
        <f t="shared" si="120"/>
        <v>112.13698845319507</v>
      </c>
      <c r="D217" s="33">
        <f>C217*VLOOKUP($A$201,Ταρίφες!$A$6:$G$23,$K$6,FALSE)*(1+$F$3)^(B217-1)</f>
        <v>51583.014688469731</v>
      </c>
      <c r="E217" s="33">
        <f>C217*VLOOKUP($A$201,Ταρίφες!$A$6:$G$23,$K$7,FALSE)*(1+$F$3)^(B217-1)</f>
        <v>35323.151362756449</v>
      </c>
      <c r="F217" s="46">
        <f t="shared" si="116"/>
        <v>-2745.5714101812241</v>
      </c>
      <c r="G217" s="47">
        <f t="shared" si="117"/>
        <v>-1098.2285640724897</v>
      </c>
      <c r="H217" s="47">
        <f t="shared" si="118"/>
        <v>-3843.7999742537136</v>
      </c>
      <c r="I217" s="46">
        <f t="shared" si="119"/>
        <v>-6177.5356729077539</v>
      </c>
      <c r="J217" s="47">
        <f t="shared" si="121"/>
        <v>-7340</v>
      </c>
      <c r="K217" s="47">
        <f t="shared" si="122"/>
        <v>-7898.2485574341836</v>
      </c>
      <c r="L217" s="47">
        <f t="shared" si="123"/>
        <v>-3670.6840927487297</v>
      </c>
      <c r="M217" s="47">
        <f t="shared" si="124"/>
        <v>29819.630509620365</v>
      </c>
      <c r="N217" s="47">
        <f t="shared" si="125"/>
        <v>17787.331648592539</v>
      </c>
      <c r="O217" s="34"/>
      <c r="P217" s="36">
        <f t="shared" si="126"/>
        <v>0</v>
      </c>
      <c r="Q217" s="35"/>
      <c r="R217" s="33"/>
      <c r="S217" s="43"/>
      <c r="T217" s="19"/>
      <c r="U217" s="27">
        <f t="shared" si="127"/>
        <v>29819.630509620365</v>
      </c>
      <c r="V217" s="28">
        <f t="shared" si="127"/>
        <v>17787.331648592539</v>
      </c>
      <c r="W217" s="43"/>
      <c r="X217" s="19"/>
      <c r="Y217" s="42">
        <f t="shared" si="129"/>
        <v>0</v>
      </c>
      <c r="Z217" s="42">
        <f t="shared" si="129"/>
        <v>0</v>
      </c>
    </row>
    <row r="218" spans="1:26" hidden="1" outlineLevel="1" x14ac:dyDescent="0.25">
      <c r="A218" s="18"/>
      <c r="B218" s="38">
        <f t="shared" si="128"/>
        <v>18</v>
      </c>
      <c r="C218" s="54">
        <f t="shared" si="120"/>
        <v>111.01561856866311</v>
      </c>
      <c r="D218" s="33">
        <f>C218*VLOOKUP($A$201,Ταρίφες!$A$6:$G$23,$K$6,FALSE)*(1+$F$3)^(B218-1)</f>
        <v>51067.184541585033</v>
      </c>
      <c r="E218" s="33">
        <f>C218*VLOOKUP($A$201,Ταρίφες!$A$6:$G$23,$K$7,FALSE)*(1+$F$3)^(B218-1)</f>
        <v>34969.919849128884</v>
      </c>
      <c r="F218" s="46">
        <f t="shared" si="116"/>
        <v>-2800.4828383848489</v>
      </c>
      <c r="G218" s="47">
        <f t="shared" si="117"/>
        <v>-1120.1931353539396</v>
      </c>
      <c r="H218" s="47">
        <f t="shared" si="118"/>
        <v>-3920.6759737387883</v>
      </c>
      <c r="I218" s="46">
        <f t="shared" si="119"/>
        <v>-6301.0863863659097</v>
      </c>
      <c r="J218" s="47">
        <f t="shared" si="121"/>
        <v>-7340</v>
      </c>
      <c r="K218" s="47">
        <f t="shared" si="122"/>
        <v>-7692.0340140128028</v>
      </c>
      <c r="L218" s="47">
        <f t="shared" si="123"/>
        <v>-3506.7451939742036</v>
      </c>
      <c r="M218" s="47">
        <f t="shared" si="124"/>
        <v>29232.712193728745</v>
      </c>
      <c r="N218" s="47">
        <f t="shared" si="125"/>
        <v>17320.736321311197</v>
      </c>
      <c r="O218" s="34"/>
      <c r="P218" s="36">
        <f t="shared" si="126"/>
        <v>0</v>
      </c>
      <c r="Q218" s="35"/>
      <c r="R218" s="33"/>
      <c r="S218" s="43"/>
      <c r="T218" s="19"/>
      <c r="U218" s="27">
        <f t="shared" si="127"/>
        <v>29232.712193728745</v>
      </c>
      <c r="V218" s="28">
        <f t="shared" si="127"/>
        <v>17320.736321311197</v>
      </c>
      <c r="W218" s="43"/>
      <c r="X218" s="19"/>
      <c r="Y218" s="42">
        <f t="shared" si="129"/>
        <v>0</v>
      </c>
      <c r="Z218" s="42">
        <f t="shared" si="129"/>
        <v>0</v>
      </c>
    </row>
    <row r="219" spans="1:26" hidden="1" outlineLevel="1" x14ac:dyDescent="0.25">
      <c r="A219" s="18"/>
      <c r="B219" s="38">
        <f t="shared" si="128"/>
        <v>19</v>
      </c>
      <c r="C219" s="54">
        <f t="shared" si="120"/>
        <v>109.90546238297648</v>
      </c>
      <c r="D219" s="33">
        <f>C219*VLOOKUP($A$201,Ταρίφες!$A$6:$G$23,$K$6,FALSE)*(1+$F$3)^(B219-1)</f>
        <v>50556.512696169179</v>
      </c>
      <c r="E219" s="33">
        <f>C219*VLOOKUP($A$201,Ταρίφες!$A$6:$G$23,$K$7,FALSE)*(1+$F$3)^(B219-1)</f>
        <v>34620.220650637588</v>
      </c>
      <c r="F219" s="46">
        <f t="shared" si="116"/>
        <v>-2856.4924951525454</v>
      </c>
      <c r="G219" s="47">
        <f t="shared" si="117"/>
        <v>-1142.5969980610182</v>
      </c>
      <c r="H219" s="47">
        <f t="shared" si="118"/>
        <v>-3999.0894932135634</v>
      </c>
      <c r="I219" s="46">
        <f t="shared" si="119"/>
        <v>-6427.1081140932274</v>
      </c>
      <c r="J219" s="47">
        <f t="shared" si="121"/>
        <v>-7340</v>
      </c>
      <c r="K219" s="47">
        <f t="shared" si="122"/>
        <v>-7485.7186548686941</v>
      </c>
      <c r="L219" s="47">
        <f t="shared" si="123"/>
        <v>-3342.2827230304802</v>
      </c>
      <c r="M219" s="47">
        <f t="shared" si="124"/>
        <v>28645.506940780127</v>
      </c>
      <c r="N219" s="47">
        <f t="shared" si="125"/>
        <v>16852.650827086753</v>
      </c>
      <c r="O219" s="34"/>
      <c r="P219" s="36">
        <f t="shared" si="126"/>
        <v>0</v>
      </c>
      <c r="Q219" s="35"/>
      <c r="R219" s="33"/>
      <c r="S219" s="43"/>
      <c r="T219" s="19"/>
      <c r="U219" s="27">
        <f t="shared" si="127"/>
        <v>28645.506940780127</v>
      </c>
      <c r="V219" s="28">
        <f t="shared" si="127"/>
        <v>16852.650827086753</v>
      </c>
      <c r="W219" s="43"/>
      <c r="X219" s="19"/>
      <c r="Y219" s="42">
        <f t="shared" si="129"/>
        <v>0</v>
      </c>
      <c r="Z219" s="42">
        <f t="shared" si="129"/>
        <v>0</v>
      </c>
    </row>
    <row r="220" spans="1:26" hidden="1" outlineLevel="1" x14ac:dyDescent="0.25">
      <c r="A220" s="18"/>
      <c r="B220" s="38">
        <f>B219+1</f>
        <v>20</v>
      </c>
      <c r="C220" s="54">
        <f>C219*(1-$F$2)</f>
        <v>108.80640775914671</v>
      </c>
      <c r="D220" s="33">
        <f>C220*VLOOKUP($A$201,Ταρίφες!$A$6:$G$23,$K$6,FALSE)*(1+$F$3)^(B220-1)</f>
        <v>50050.947569207485</v>
      </c>
      <c r="E220" s="33">
        <f>C220*VLOOKUP($A$201,Ταρίφες!$A$6:$G$23,$K$7,FALSE)*(1+$F$3)^(B220-1)</f>
        <v>34274.018444131216</v>
      </c>
      <c r="F220" s="46">
        <f t="shared" si="116"/>
        <v>-2913.6223450555963</v>
      </c>
      <c r="G220" s="47">
        <f t="shared" si="117"/>
        <v>-1165.4489380222385</v>
      </c>
      <c r="H220" s="47">
        <f>-$K$4*(1+$F$4)^(B220-$B$12)</f>
        <v>-4079.0712830778348</v>
      </c>
      <c r="I220" s="46">
        <f>-(4500*(1+$F$4)^(B220-$B$12))</f>
        <v>-6555.6502763750914</v>
      </c>
      <c r="J220" s="47">
        <f t="shared" si="121"/>
        <v>-7340</v>
      </c>
      <c r="K220" s="47">
        <f>-(D220+SUM(F220:J220))*$F$5</f>
        <v>-7279.2602289359484</v>
      </c>
      <c r="L220" s="47">
        <f>-(E220+SUM(F220:J220))*$F$5</f>
        <v>-3177.2586564161184</v>
      </c>
      <c r="M220" s="47">
        <f>D220+SUM(F220:I220)+K220</f>
        <v>28057.894497740774</v>
      </c>
      <c r="N220" s="47">
        <f>E220+SUM(F220:I220)+L220</f>
        <v>16382.966945184337</v>
      </c>
      <c r="O220" s="34"/>
      <c r="P220" s="36">
        <f t="shared" si="126"/>
        <v>0</v>
      </c>
      <c r="Q220" s="35"/>
      <c r="R220" s="33"/>
      <c r="S220" s="43"/>
      <c r="T220" s="19"/>
      <c r="U220" s="27">
        <f>M220</f>
        <v>28057.894497740774</v>
      </c>
      <c r="V220" s="28">
        <f>N220</f>
        <v>16382.966945184337</v>
      </c>
      <c r="W220" s="43"/>
      <c r="X220" s="19"/>
      <c r="Y220" s="42">
        <f t="shared" si="129"/>
        <v>0</v>
      </c>
      <c r="Z220" s="42">
        <f t="shared" si="129"/>
        <v>0</v>
      </c>
    </row>
    <row r="221" spans="1:26" s="40" customFormat="1" hidden="1" outlineLevel="1" x14ac:dyDescent="0.25">
      <c r="O221" s="17"/>
      <c r="P221" s="36">
        <f t="shared" si="126"/>
        <v>0</v>
      </c>
      <c r="Q221" s="25"/>
      <c r="R221" s="22"/>
      <c r="S221" s="52"/>
      <c r="T221" s="44"/>
      <c r="U221" s="74">
        <f>O222</f>
        <v>-170750</v>
      </c>
      <c r="V221" s="74">
        <f>R222</f>
        <v>-119568.38990559045</v>
      </c>
      <c r="W221" s="52"/>
      <c r="X221" s="44"/>
      <c r="Y221" s="42">
        <f t="shared" si="129"/>
        <v>0</v>
      </c>
      <c r="Z221" s="42">
        <f t="shared" si="129"/>
        <v>0</v>
      </c>
    </row>
    <row r="222" spans="1:26" collapsed="1" x14ac:dyDescent="0.25">
      <c r="A222" s="32" t="str">
        <f>Ταρίφες!A20</f>
        <v>Γ Τριμ. 2012</v>
      </c>
      <c r="B222" s="38">
        <f>1</f>
        <v>1</v>
      </c>
      <c r="C222" s="54">
        <f>$F$8*$K$2/1000</f>
        <v>131.69999999999999</v>
      </c>
      <c r="D222" s="33">
        <f>C222*VLOOKUP($A$222,Ταρίφες!$A$6:$G$23,$K$6,FALSE)*(1+$F$3)^(B222-1)</f>
        <v>59264.999999999993</v>
      </c>
      <c r="E222" s="33">
        <f>C222*VLOOKUP($A$222,Ταρίφες!$A$6:$G$23,$K$7,FALSE)*(1+$F$3)^(B222-1)</f>
        <v>39510</v>
      </c>
      <c r="F222" s="46">
        <f t="shared" ref="F222:F241" si="130">-($K$5*(1+$F$4)^(B222-$B$12))</f>
        <v>-2000</v>
      </c>
      <c r="G222" s="47">
        <f t="shared" ref="G222:G241" si="131">-$K$2*10*(1+$F$4)^(B222-$B$12)</f>
        <v>-800</v>
      </c>
      <c r="H222" s="47">
        <f t="shared" ref="H222:H240" si="132">-$K$4*(1+$F$4)^(B222-$B$12)</f>
        <v>-2800</v>
      </c>
      <c r="I222" s="46">
        <f t="shared" ref="I222:I240" si="133">-(4500*(1+$F$4)^(B222-$B$12))</f>
        <v>-4500</v>
      </c>
      <c r="J222" s="47">
        <f>$O$222*4%</f>
        <v>-6830</v>
      </c>
      <c r="K222" s="47">
        <f>-(D222+SUM(F222:J222))*$F$5</f>
        <v>-11007.099999999999</v>
      </c>
      <c r="L222" s="47">
        <f>-(E222+SUM(F222:J222))*$F$5</f>
        <v>-5870.8</v>
      </c>
      <c r="M222" s="47">
        <f>D222+SUM(F222:I222)+K222</f>
        <v>38157.899999999994</v>
      </c>
      <c r="N222" s="47">
        <f>E222+SUM(F222:I222)+L222</f>
        <v>23539.200000000001</v>
      </c>
      <c r="O222" s="35">
        <f>-VLOOKUP(A222,'Κόστος Κατασκευής'!$A$4:$Q$17,$K$8,FALSE)</f>
        <v>-170750</v>
      </c>
      <c r="P222" s="36">
        <f t="shared" si="126"/>
        <v>68300</v>
      </c>
      <c r="Q222" s="36">
        <f>Q201*15/16</f>
        <v>-17118.389905590451</v>
      </c>
      <c r="R222" s="37">
        <f>SUM(O222:Q222)</f>
        <v>-119568.38990559045</v>
      </c>
      <c r="S222" s="42">
        <f>IRR(U221:U241)</f>
        <v>0.20322546430761368</v>
      </c>
      <c r="T222" s="42">
        <f>IRR(V221:V241)</f>
        <v>0.17085529902354657</v>
      </c>
      <c r="U222" s="27">
        <f>M222</f>
        <v>38157.899999999994</v>
      </c>
      <c r="V222" s="28">
        <f>N222</f>
        <v>23539.200000000001</v>
      </c>
      <c r="W222" s="42">
        <f>'IRR ΔΣ Ισχύον'!S222</f>
        <v>0.21131463254256122</v>
      </c>
      <c r="X222" s="42">
        <f>'IRR ΔΣ Ισχύον'!T222</f>
        <v>0.15668917509411684</v>
      </c>
      <c r="Y222" s="42">
        <f t="shared" si="129"/>
        <v>-8.0891682349475413E-3</v>
      </c>
      <c r="Z222" s="42">
        <f t="shared" si="129"/>
        <v>1.416612392942973E-2</v>
      </c>
    </row>
    <row r="223" spans="1:26" hidden="1" outlineLevel="1" x14ac:dyDescent="0.25">
      <c r="A223" s="18"/>
      <c r="B223" s="38">
        <f>B222+1</f>
        <v>2</v>
      </c>
      <c r="C223" s="54">
        <f t="shared" ref="C223:C240" si="134">C222*(1-$F$2)</f>
        <v>130.38299999999998</v>
      </c>
      <c r="D223" s="33">
        <f>C223*VLOOKUP($A$222,Ταρίφες!$A$6:$G$23,$K$6,FALSE)*(1+$F$3)^(B223-1)</f>
        <v>58672.349999999991</v>
      </c>
      <c r="E223" s="33">
        <f>C223*VLOOKUP($A$222,Ταρίφες!$A$6:$G$23,$K$7,FALSE)*(1+$F$3)^(B223-1)</f>
        <v>39114.899999999994</v>
      </c>
      <c r="F223" s="46">
        <f t="shared" si="130"/>
        <v>-2040</v>
      </c>
      <c r="G223" s="47">
        <f t="shared" si="131"/>
        <v>-816</v>
      </c>
      <c r="H223" s="47">
        <f t="shared" si="132"/>
        <v>-2856</v>
      </c>
      <c r="I223" s="46">
        <f t="shared" si="133"/>
        <v>-4590</v>
      </c>
      <c r="J223" s="47">
        <f t="shared" ref="J223:J241" si="135">$O$222*4%</f>
        <v>-6830</v>
      </c>
      <c r="K223" s="47">
        <f t="shared" ref="K223:K240" si="136">-(D223+SUM(F223:J223))*$F$5</f>
        <v>-10800.490999999998</v>
      </c>
      <c r="L223" s="47">
        <f t="shared" ref="L223:L240" si="137">-(E223+SUM(F223:J223))*$F$5</f>
        <v>-5715.5539999999983</v>
      </c>
      <c r="M223" s="47">
        <f t="shared" ref="M223:M240" si="138">D223+SUM(F223:I223)+K223</f>
        <v>37569.858999999997</v>
      </c>
      <c r="N223" s="47">
        <f t="shared" ref="N223:N240" si="139">E223+SUM(F223:I223)+L223</f>
        <v>23097.345999999998</v>
      </c>
      <c r="O223" s="34"/>
      <c r="P223" s="36">
        <f t="shared" si="126"/>
        <v>0</v>
      </c>
      <c r="Q223" s="35"/>
      <c r="R223" s="33"/>
      <c r="S223" s="43"/>
      <c r="T223" s="19"/>
      <c r="U223" s="27">
        <f t="shared" ref="U223:V240" si="140">M223</f>
        <v>37569.858999999997</v>
      </c>
      <c r="V223" s="28">
        <f t="shared" si="140"/>
        <v>23097.345999999998</v>
      </c>
      <c r="W223" s="43"/>
      <c r="X223" s="19"/>
      <c r="Y223" s="42">
        <f t="shared" si="129"/>
        <v>0</v>
      </c>
      <c r="Z223" s="42">
        <f t="shared" si="129"/>
        <v>0</v>
      </c>
    </row>
    <row r="224" spans="1:26" hidden="1" outlineLevel="1" x14ac:dyDescent="0.25">
      <c r="A224" s="18"/>
      <c r="B224" s="38">
        <f t="shared" ref="B224:B240" si="141">B223+1</f>
        <v>3</v>
      </c>
      <c r="C224" s="54">
        <f t="shared" si="134"/>
        <v>129.07916999999998</v>
      </c>
      <c r="D224" s="33">
        <f>C224*VLOOKUP($A$222,Ταρίφες!$A$6:$G$23,$K$6,FALSE)*(1+$F$3)^(B224-1)</f>
        <v>58085.626499999991</v>
      </c>
      <c r="E224" s="33">
        <f>C224*VLOOKUP($A$222,Ταρίφες!$A$6:$G$23,$K$7,FALSE)*(1+$F$3)^(B224-1)</f>
        <v>38723.750999999989</v>
      </c>
      <c r="F224" s="46">
        <f t="shared" si="130"/>
        <v>-2080.8000000000002</v>
      </c>
      <c r="G224" s="47">
        <f t="shared" si="131"/>
        <v>-832.31999999999994</v>
      </c>
      <c r="H224" s="47">
        <f t="shared" si="132"/>
        <v>-2913.12</v>
      </c>
      <c r="I224" s="46">
        <f t="shared" si="133"/>
        <v>-4681.8</v>
      </c>
      <c r="J224" s="47">
        <f t="shared" si="135"/>
        <v>-6830</v>
      </c>
      <c r="K224" s="47">
        <f t="shared" si="136"/>
        <v>-10594.372489999998</v>
      </c>
      <c r="L224" s="47">
        <f t="shared" si="137"/>
        <v>-5560.284859999997</v>
      </c>
      <c r="M224" s="47">
        <f t="shared" si="138"/>
        <v>36983.214009999996</v>
      </c>
      <c r="N224" s="47">
        <f t="shared" si="139"/>
        <v>22655.426139999992</v>
      </c>
      <c r="O224" s="34"/>
      <c r="P224" s="36">
        <f t="shared" si="126"/>
        <v>0</v>
      </c>
      <c r="Q224" s="35"/>
      <c r="R224" s="33"/>
      <c r="S224" s="43"/>
      <c r="T224" s="19"/>
      <c r="U224" s="27">
        <f t="shared" si="140"/>
        <v>36983.214009999996</v>
      </c>
      <c r="V224" s="28">
        <f t="shared" si="140"/>
        <v>22655.426139999992</v>
      </c>
      <c r="W224" s="43"/>
      <c r="X224" s="19"/>
      <c r="Y224" s="42">
        <f t="shared" si="129"/>
        <v>0</v>
      </c>
      <c r="Z224" s="42">
        <f t="shared" si="129"/>
        <v>0</v>
      </c>
    </row>
    <row r="225" spans="1:26" hidden="1" outlineLevel="1" x14ac:dyDescent="0.25">
      <c r="A225" s="18"/>
      <c r="B225" s="38">
        <f t="shared" si="141"/>
        <v>4</v>
      </c>
      <c r="C225" s="54">
        <f t="shared" si="134"/>
        <v>127.78837829999998</v>
      </c>
      <c r="D225" s="33">
        <f>C225*VLOOKUP($A$222,Ταρίφες!$A$6:$G$23,$K$6,FALSE)*(1+$F$3)^(B225-1)</f>
        <v>57504.770234999989</v>
      </c>
      <c r="E225" s="33">
        <f>C225*VLOOKUP($A$222,Ταρίφες!$A$6:$G$23,$K$7,FALSE)*(1+$F$3)^(B225-1)</f>
        <v>38336.51348999999</v>
      </c>
      <c r="F225" s="46">
        <f t="shared" si="130"/>
        <v>-2122.4159999999997</v>
      </c>
      <c r="G225" s="47">
        <f t="shared" si="131"/>
        <v>-848.96639999999991</v>
      </c>
      <c r="H225" s="47">
        <f t="shared" si="132"/>
        <v>-2971.3824</v>
      </c>
      <c r="I225" s="46">
        <f t="shared" si="133"/>
        <v>-4775.4359999999997</v>
      </c>
      <c r="J225" s="47">
        <f t="shared" si="135"/>
        <v>-6830</v>
      </c>
      <c r="K225" s="47">
        <f t="shared" si="136"/>
        <v>-10388.708053099997</v>
      </c>
      <c r="L225" s="47">
        <f t="shared" si="137"/>
        <v>-5404.9612993999981</v>
      </c>
      <c r="M225" s="47">
        <f t="shared" si="138"/>
        <v>36397.861381899995</v>
      </c>
      <c r="N225" s="47">
        <f t="shared" si="139"/>
        <v>22213.351390599993</v>
      </c>
      <c r="O225" s="34"/>
      <c r="P225" s="36">
        <f t="shared" si="126"/>
        <v>0</v>
      </c>
      <c r="Q225" s="35"/>
      <c r="R225" s="33"/>
      <c r="S225" s="43"/>
      <c r="T225" s="19"/>
      <c r="U225" s="27">
        <f t="shared" si="140"/>
        <v>36397.861381899995</v>
      </c>
      <c r="V225" s="28">
        <f t="shared" si="140"/>
        <v>22213.351390599993</v>
      </c>
      <c r="W225" s="43"/>
      <c r="X225" s="19"/>
      <c r="Y225" s="42">
        <f t="shared" si="129"/>
        <v>0</v>
      </c>
      <c r="Z225" s="42">
        <f t="shared" si="129"/>
        <v>0</v>
      </c>
    </row>
    <row r="226" spans="1:26" hidden="1" outlineLevel="1" x14ac:dyDescent="0.25">
      <c r="A226" s="18"/>
      <c r="B226" s="38">
        <f t="shared" si="141"/>
        <v>5</v>
      </c>
      <c r="C226" s="54">
        <f t="shared" si="134"/>
        <v>126.51049451699997</v>
      </c>
      <c r="D226" s="33">
        <f>C226*VLOOKUP($A$222,Ταρίφες!$A$6:$G$23,$K$6,FALSE)*(1+$F$3)^(B226-1)</f>
        <v>56929.722532649983</v>
      </c>
      <c r="E226" s="33">
        <f>C226*VLOOKUP($A$222,Ταρίφες!$A$6:$G$23,$K$7,FALSE)*(1+$F$3)^(B226-1)</f>
        <v>37953.148355099991</v>
      </c>
      <c r="F226" s="46">
        <f t="shared" si="130"/>
        <v>-2164.8643200000001</v>
      </c>
      <c r="G226" s="47">
        <f t="shared" si="131"/>
        <v>-865.94572800000003</v>
      </c>
      <c r="H226" s="47">
        <f t="shared" si="132"/>
        <v>-3030.8100479999998</v>
      </c>
      <c r="I226" s="46">
        <f t="shared" si="133"/>
        <v>-4870.9447199999995</v>
      </c>
      <c r="J226" s="47">
        <f t="shared" si="135"/>
        <v>-6830</v>
      </c>
      <c r="K226" s="47">
        <f t="shared" si="136"/>
        <v>-10183.461006328997</v>
      </c>
      <c r="L226" s="47">
        <f t="shared" si="137"/>
        <v>-5249.5517201659986</v>
      </c>
      <c r="M226" s="47">
        <f t="shared" si="138"/>
        <v>35813.69671032099</v>
      </c>
      <c r="N226" s="47">
        <f t="shared" si="139"/>
        <v>21771.031818933996</v>
      </c>
      <c r="O226" s="34"/>
      <c r="P226" s="36">
        <f t="shared" si="126"/>
        <v>0</v>
      </c>
      <c r="Q226" s="35"/>
      <c r="R226" s="33"/>
      <c r="S226" s="43"/>
      <c r="T226" s="19"/>
      <c r="U226" s="27">
        <f t="shared" si="140"/>
        <v>35813.69671032099</v>
      </c>
      <c r="V226" s="28">
        <f t="shared" si="140"/>
        <v>21771.031818933996</v>
      </c>
      <c r="W226" s="43"/>
      <c r="X226" s="19"/>
      <c r="Y226" s="42">
        <f t="shared" si="129"/>
        <v>0</v>
      </c>
      <c r="Z226" s="42">
        <f t="shared" si="129"/>
        <v>0</v>
      </c>
    </row>
    <row r="227" spans="1:26" hidden="1" outlineLevel="1" x14ac:dyDescent="0.25">
      <c r="A227" s="18"/>
      <c r="B227" s="38">
        <f t="shared" si="141"/>
        <v>6</v>
      </c>
      <c r="C227" s="54">
        <f t="shared" si="134"/>
        <v>125.24538957182997</v>
      </c>
      <c r="D227" s="33">
        <f>C227*VLOOKUP($A$222,Ταρίφες!$A$6:$G$23,$K$6,FALSE)*(1+$F$3)^(B227-1)</f>
        <v>56360.425307323487</v>
      </c>
      <c r="E227" s="33">
        <f>C227*VLOOKUP($A$222,Ταρίφες!$A$6:$G$23,$K$7,FALSE)*(1+$F$3)^(B227-1)</f>
        <v>37573.616871548991</v>
      </c>
      <c r="F227" s="46">
        <f t="shared" si="130"/>
        <v>-2208.1616064</v>
      </c>
      <c r="G227" s="47">
        <f t="shared" si="131"/>
        <v>-883.26464255999997</v>
      </c>
      <c r="H227" s="47">
        <f t="shared" si="132"/>
        <v>-3091.4262489600001</v>
      </c>
      <c r="I227" s="46">
        <f t="shared" si="133"/>
        <v>-4968.3636144000002</v>
      </c>
      <c r="J227" s="47">
        <f t="shared" si="135"/>
        <v>-6830</v>
      </c>
      <c r="K227" s="47">
        <f t="shared" si="136"/>
        <v>-9978.5943907009078</v>
      </c>
      <c r="L227" s="47">
        <f t="shared" si="137"/>
        <v>-5094.024197399538</v>
      </c>
      <c r="M227" s="47">
        <f t="shared" si="138"/>
        <v>35230.614804302582</v>
      </c>
      <c r="N227" s="47">
        <f t="shared" si="139"/>
        <v>21328.376561829456</v>
      </c>
      <c r="O227" s="34"/>
      <c r="P227" s="36">
        <f t="shared" si="126"/>
        <v>0</v>
      </c>
      <c r="Q227" s="35"/>
      <c r="R227" s="33"/>
      <c r="S227" s="43"/>
      <c r="T227" s="19"/>
      <c r="U227" s="27">
        <f t="shared" si="140"/>
        <v>35230.614804302582</v>
      </c>
      <c r="V227" s="28">
        <f t="shared" si="140"/>
        <v>21328.376561829456</v>
      </c>
      <c r="W227" s="43"/>
      <c r="X227" s="19"/>
      <c r="Y227" s="42">
        <f t="shared" si="129"/>
        <v>0</v>
      </c>
      <c r="Z227" s="42">
        <f t="shared" si="129"/>
        <v>0</v>
      </c>
    </row>
    <row r="228" spans="1:26" hidden="1" outlineLevel="1" x14ac:dyDescent="0.25">
      <c r="A228" s="18"/>
      <c r="B228" s="38">
        <f t="shared" si="141"/>
        <v>7</v>
      </c>
      <c r="C228" s="54">
        <f t="shared" si="134"/>
        <v>123.99293567611167</v>
      </c>
      <c r="D228" s="33">
        <f>C228*VLOOKUP($A$222,Ταρίφες!$A$6:$G$23,$K$6,FALSE)*(1+$F$3)^(B228-1)</f>
        <v>55796.821054250249</v>
      </c>
      <c r="E228" s="33">
        <f>C228*VLOOKUP($A$222,Ταρίφες!$A$6:$G$23,$K$7,FALSE)*(1+$F$3)^(B228-1)</f>
        <v>37197.8807028335</v>
      </c>
      <c r="F228" s="46">
        <f t="shared" si="130"/>
        <v>-2252.3248385280003</v>
      </c>
      <c r="G228" s="47">
        <f t="shared" si="131"/>
        <v>-900.92993541120006</v>
      </c>
      <c r="H228" s="47">
        <f t="shared" si="132"/>
        <v>-3153.2547739392003</v>
      </c>
      <c r="I228" s="46">
        <f t="shared" si="133"/>
        <v>-5067.7308866880003</v>
      </c>
      <c r="J228" s="47">
        <f t="shared" si="135"/>
        <v>-6830</v>
      </c>
      <c r="K228" s="47">
        <f t="shared" si="136"/>
        <v>-9774.0709611178027</v>
      </c>
      <c r="L228" s="47">
        <f t="shared" si="137"/>
        <v>-4938.3464697494464</v>
      </c>
      <c r="M228" s="47">
        <f t="shared" si="138"/>
        <v>34648.50965856605</v>
      </c>
      <c r="N228" s="47">
        <f t="shared" si="139"/>
        <v>20885.293798517654</v>
      </c>
      <c r="O228" s="34"/>
      <c r="P228" s="36">
        <f t="shared" si="126"/>
        <v>0</v>
      </c>
      <c r="Q228" s="35"/>
      <c r="R228" s="33"/>
      <c r="S228" s="43"/>
      <c r="T228" s="19"/>
      <c r="U228" s="27">
        <f t="shared" si="140"/>
        <v>34648.50965856605</v>
      </c>
      <c r="V228" s="28">
        <f t="shared" si="140"/>
        <v>20885.293798517654</v>
      </c>
      <c r="W228" s="43"/>
      <c r="X228" s="19"/>
      <c r="Y228" s="42">
        <f t="shared" si="129"/>
        <v>0</v>
      </c>
      <c r="Z228" s="42">
        <f t="shared" si="129"/>
        <v>0</v>
      </c>
    </row>
    <row r="229" spans="1:26" hidden="1" outlineLevel="1" x14ac:dyDescent="0.25">
      <c r="A229" s="18"/>
      <c r="B229" s="38">
        <f t="shared" si="141"/>
        <v>8</v>
      </c>
      <c r="C229" s="54">
        <f t="shared" si="134"/>
        <v>122.75300631935055</v>
      </c>
      <c r="D229" s="33">
        <f>C229*VLOOKUP($A$222,Ταρίφες!$A$6:$G$23,$K$6,FALSE)*(1+$F$3)^(B229-1)</f>
        <v>55238.852843707748</v>
      </c>
      <c r="E229" s="33">
        <f>C229*VLOOKUP($A$222,Ταρίφες!$A$6:$G$23,$K$7,FALSE)*(1+$F$3)^(B229-1)</f>
        <v>36825.901895805167</v>
      </c>
      <c r="F229" s="46">
        <f t="shared" si="130"/>
        <v>-2297.3713352985596</v>
      </c>
      <c r="G229" s="47">
        <f t="shared" si="131"/>
        <v>-918.94853411942381</v>
      </c>
      <c r="H229" s="47">
        <f t="shared" si="132"/>
        <v>-3216.3198694179837</v>
      </c>
      <c r="I229" s="46">
        <f t="shared" si="133"/>
        <v>-5169.0855044217587</v>
      </c>
      <c r="J229" s="47">
        <f t="shared" si="135"/>
        <v>-6830</v>
      </c>
      <c r="K229" s="47">
        <f t="shared" si="136"/>
        <v>-9569.853176117007</v>
      </c>
      <c r="L229" s="47">
        <f t="shared" si="137"/>
        <v>-4782.4859296623345</v>
      </c>
      <c r="M229" s="47">
        <f t="shared" si="138"/>
        <v>34067.274424333016</v>
      </c>
      <c r="N229" s="47">
        <f t="shared" si="139"/>
        <v>20441.690722885105</v>
      </c>
      <c r="O229" s="34"/>
      <c r="P229" s="36">
        <f t="shared" si="126"/>
        <v>0</v>
      </c>
      <c r="Q229" s="35"/>
      <c r="R229" s="33"/>
      <c r="S229" s="43"/>
      <c r="T229" s="19"/>
      <c r="U229" s="27">
        <f t="shared" si="140"/>
        <v>34067.274424333016</v>
      </c>
      <c r="V229" s="28">
        <f t="shared" si="140"/>
        <v>20441.690722885105</v>
      </c>
      <c r="W229" s="43"/>
      <c r="X229" s="19"/>
      <c r="Y229" s="42">
        <f t="shared" si="129"/>
        <v>0</v>
      </c>
      <c r="Z229" s="42">
        <f t="shared" si="129"/>
        <v>0</v>
      </c>
    </row>
    <row r="230" spans="1:26" hidden="1" outlineLevel="1" x14ac:dyDescent="0.25">
      <c r="A230" s="18"/>
      <c r="B230" s="38">
        <f t="shared" si="141"/>
        <v>9</v>
      </c>
      <c r="C230" s="54">
        <f t="shared" si="134"/>
        <v>121.52547625615703</v>
      </c>
      <c r="D230" s="33">
        <f>C230*VLOOKUP($A$222,Ταρίφες!$A$6:$G$23,$K$6,FALSE)*(1+$F$3)^(B230-1)</f>
        <v>54686.464315270663</v>
      </c>
      <c r="E230" s="33">
        <f>C230*VLOOKUP($A$222,Ταρίφες!$A$6:$G$23,$K$7,FALSE)*(1+$F$3)^(B230-1)</f>
        <v>36457.642876847109</v>
      </c>
      <c r="F230" s="46">
        <f t="shared" si="130"/>
        <v>-2343.318762004531</v>
      </c>
      <c r="G230" s="47">
        <f t="shared" si="131"/>
        <v>-937.32750480181244</v>
      </c>
      <c r="H230" s="47">
        <f t="shared" si="132"/>
        <v>-3280.6462668063436</v>
      </c>
      <c r="I230" s="46">
        <f t="shared" si="133"/>
        <v>-5272.4672145101949</v>
      </c>
      <c r="J230" s="47">
        <f t="shared" si="135"/>
        <v>-6830</v>
      </c>
      <c r="K230" s="47">
        <f t="shared" si="136"/>
        <v>-9365.9031874584234</v>
      </c>
      <c r="L230" s="47">
        <f t="shared" si="137"/>
        <v>-4626.4096134682995</v>
      </c>
      <c r="M230" s="47">
        <f t="shared" si="138"/>
        <v>33486.801379689357</v>
      </c>
      <c r="N230" s="47">
        <f t="shared" si="139"/>
        <v>19997.47351525593</v>
      </c>
      <c r="O230" s="34"/>
      <c r="P230" s="36">
        <f t="shared" si="126"/>
        <v>0</v>
      </c>
      <c r="Q230" s="35"/>
      <c r="R230" s="33"/>
      <c r="S230" s="43"/>
      <c r="T230" s="19"/>
      <c r="U230" s="27">
        <f t="shared" si="140"/>
        <v>33486.801379689357</v>
      </c>
      <c r="V230" s="28">
        <f t="shared" si="140"/>
        <v>19997.47351525593</v>
      </c>
      <c r="W230" s="43"/>
      <c r="X230" s="19"/>
      <c r="Y230" s="42">
        <f t="shared" si="129"/>
        <v>0</v>
      </c>
      <c r="Z230" s="42">
        <f t="shared" si="129"/>
        <v>0</v>
      </c>
    </row>
    <row r="231" spans="1:26" hidden="1" outlineLevel="1" x14ac:dyDescent="0.25">
      <c r="A231" s="18"/>
      <c r="B231" s="38">
        <f t="shared" si="141"/>
        <v>10</v>
      </c>
      <c r="C231" s="54">
        <f t="shared" si="134"/>
        <v>120.31022149359546</v>
      </c>
      <c r="D231" s="33">
        <f>C231*VLOOKUP($A$222,Ταρίφες!$A$6:$G$23,$K$6,FALSE)*(1+$F$3)^(B231-1)</f>
        <v>54139.599672117962</v>
      </c>
      <c r="E231" s="33">
        <f>C231*VLOOKUP($A$222,Ταρίφες!$A$6:$G$23,$K$7,FALSE)*(1+$F$3)^(B231-1)</f>
        <v>36093.066448078636</v>
      </c>
      <c r="F231" s="46">
        <f t="shared" si="130"/>
        <v>-2390.1851372446217</v>
      </c>
      <c r="G231" s="47">
        <f t="shared" si="131"/>
        <v>-956.07405489784867</v>
      </c>
      <c r="H231" s="47">
        <f t="shared" si="132"/>
        <v>-3346.2591921424705</v>
      </c>
      <c r="I231" s="46">
        <f t="shared" si="133"/>
        <v>-5377.9165588003989</v>
      </c>
      <c r="J231" s="47">
        <f t="shared" si="135"/>
        <v>-6830</v>
      </c>
      <c r="K231" s="47">
        <f t="shared" si="136"/>
        <v>-9162.1828295484811</v>
      </c>
      <c r="L231" s="47">
        <f t="shared" si="137"/>
        <v>-4470.0841912982569</v>
      </c>
      <c r="M231" s="47">
        <f t="shared" si="138"/>
        <v>32906.981899484141</v>
      </c>
      <c r="N231" s="47">
        <f t="shared" si="139"/>
        <v>19552.547313695039</v>
      </c>
      <c r="O231" s="34"/>
      <c r="P231" s="36">
        <f t="shared" si="126"/>
        <v>0</v>
      </c>
      <c r="Q231" s="35"/>
      <c r="R231" s="33"/>
      <c r="S231" s="43"/>
      <c r="T231" s="19"/>
      <c r="U231" s="27">
        <f t="shared" si="140"/>
        <v>32906.981899484141</v>
      </c>
      <c r="V231" s="28">
        <f t="shared" si="140"/>
        <v>19552.547313695039</v>
      </c>
      <c r="W231" s="43"/>
      <c r="X231" s="19"/>
      <c r="Y231" s="42">
        <f t="shared" si="129"/>
        <v>0</v>
      </c>
      <c r="Z231" s="42">
        <f t="shared" si="129"/>
        <v>0</v>
      </c>
    </row>
    <row r="232" spans="1:26" hidden="1" outlineLevel="1" x14ac:dyDescent="0.25">
      <c r="A232" s="18"/>
      <c r="B232" s="38">
        <f t="shared" si="141"/>
        <v>11</v>
      </c>
      <c r="C232" s="54">
        <f t="shared" si="134"/>
        <v>119.10711927865951</v>
      </c>
      <c r="D232" s="33">
        <f>C232*VLOOKUP($A$222,Ταρίφες!$A$6:$G$23,$K$6,FALSE)*(1+$F$3)^(B232-1)</f>
        <v>53598.203675396777</v>
      </c>
      <c r="E232" s="33">
        <f>C232*VLOOKUP($A$222,Ταρίφες!$A$6:$G$23,$K$7,FALSE)*(1+$F$3)^(B232-1)</f>
        <v>35732.135783597856</v>
      </c>
      <c r="F232" s="46">
        <f t="shared" si="130"/>
        <v>-2437.9888399895144</v>
      </c>
      <c r="G232" s="47">
        <f t="shared" si="131"/>
        <v>-975.1955359958057</v>
      </c>
      <c r="H232" s="47">
        <f t="shared" si="132"/>
        <v>-3413.18437598532</v>
      </c>
      <c r="I232" s="46">
        <f t="shared" si="133"/>
        <v>-5485.4748899764072</v>
      </c>
      <c r="J232" s="47">
        <f t="shared" si="135"/>
        <v>-6830</v>
      </c>
      <c r="K232" s="47">
        <f t="shared" si="136"/>
        <v>-8958.65360869693</v>
      </c>
      <c r="L232" s="47">
        <f t="shared" si="137"/>
        <v>-4313.4759568292111</v>
      </c>
      <c r="M232" s="47">
        <f t="shared" si="138"/>
        <v>32327.706424752803</v>
      </c>
      <c r="N232" s="47">
        <f t="shared" si="139"/>
        <v>19106.8161848216</v>
      </c>
      <c r="O232" s="34"/>
      <c r="P232" s="36">
        <f t="shared" si="126"/>
        <v>0</v>
      </c>
      <c r="Q232" s="35"/>
      <c r="R232" s="33"/>
      <c r="S232" s="43"/>
      <c r="T232" s="19"/>
      <c r="U232" s="27">
        <f t="shared" si="140"/>
        <v>32327.706424752803</v>
      </c>
      <c r="V232" s="28">
        <f t="shared" si="140"/>
        <v>19106.8161848216</v>
      </c>
      <c r="W232" s="43"/>
      <c r="X232" s="19"/>
      <c r="Y232" s="42">
        <f t="shared" si="129"/>
        <v>0</v>
      </c>
      <c r="Z232" s="42">
        <f t="shared" si="129"/>
        <v>0</v>
      </c>
    </row>
    <row r="233" spans="1:26" hidden="1" outlineLevel="1" x14ac:dyDescent="0.25">
      <c r="A233" s="18"/>
      <c r="B233" s="38">
        <f t="shared" si="141"/>
        <v>12</v>
      </c>
      <c r="C233" s="54">
        <f t="shared" si="134"/>
        <v>117.91604808587292</v>
      </c>
      <c r="D233" s="33">
        <f>C233*VLOOKUP($A$222,Ταρίφες!$A$6:$G$23,$K$6,FALSE)*(1+$F$3)^(B233-1)</f>
        <v>53062.221638642812</v>
      </c>
      <c r="E233" s="33">
        <f>C233*VLOOKUP($A$222,Ταρίφες!$A$6:$G$23,$K$7,FALSE)*(1+$F$3)^(B233-1)</f>
        <v>35374.814425761877</v>
      </c>
      <c r="F233" s="46">
        <f t="shared" si="130"/>
        <v>-2486.7486167893039</v>
      </c>
      <c r="G233" s="47">
        <f t="shared" si="131"/>
        <v>-994.69944671572159</v>
      </c>
      <c r="H233" s="47">
        <f t="shared" si="132"/>
        <v>-3481.4480635050259</v>
      </c>
      <c r="I233" s="46">
        <f t="shared" si="133"/>
        <v>-5595.1843877759338</v>
      </c>
      <c r="J233" s="47">
        <f t="shared" si="135"/>
        <v>-6830</v>
      </c>
      <c r="K233" s="47">
        <f t="shared" si="136"/>
        <v>-8755.2766922027749</v>
      </c>
      <c r="L233" s="47">
        <f t="shared" si="137"/>
        <v>-4156.5508168537317</v>
      </c>
      <c r="M233" s="47">
        <f t="shared" si="138"/>
        <v>31748.864431654052</v>
      </c>
      <c r="N233" s="47">
        <f t="shared" si="139"/>
        <v>18660.18309412216</v>
      </c>
      <c r="O233" s="34"/>
      <c r="P233" s="36">
        <f t="shared" si="126"/>
        <v>0</v>
      </c>
      <c r="Q233" s="35"/>
      <c r="R233" s="33"/>
      <c r="S233" s="43"/>
      <c r="T233" s="19"/>
      <c r="U233" s="27">
        <f t="shared" si="140"/>
        <v>31748.864431654052</v>
      </c>
      <c r="V233" s="28">
        <f t="shared" si="140"/>
        <v>18660.18309412216</v>
      </c>
      <c r="W233" s="43"/>
      <c r="X233" s="19"/>
      <c r="Y233" s="42">
        <f t="shared" si="129"/>
        <v>0</v>
      </c>
      <c r="Z233" s="42">
        <f t="shared" si="129"/>
        <v>0</v>
      </c>
    </row>
    <row r="234" spans="1:26" hidden="1" outlineLevel="1" x14ac:dyDescent="0.25">
      <c r="A234" s="18"/>
      <c r="B234" s="38">
        <f t="shared" si="141"/>
        <v>13</v>
      </c>
      <c r="C234" s="54">
        <f t="shared" si="134"/>
        <v>116.73688760501419</v>
      </c>
      <c r="D234" s="33">
        <f>C234*VLOOKUP($A$222,Ταρίφες!$A$6:$G$23,$K$6,FALSE)*(1+$F$3)^(B234-1)</f>
        <v>52531.599422256382</v>
      </c>
      <c r="E234" s="33">
        <f>C234*VLOOKUP($A$222,Ταρίφες!$A$6:$G$23,$K$7,FALSE)*(1+$F$3)^(B234-1)</f>
        <v>35021.06628150426</v>
      </c>
      <c r="F234" s="46">
        <f t="shared" si="130"/>
        <v>-2536.4835891250905</v>
      </c>
      <c r="G234" s="47">
        <f t="shared" si="131"/>
        <v>-1014.5934356500362</v>
      </c>
      <c r="H234" s="47">
        <f t="shared" si="132"/>
        <v>-3551.0770247751266</v>
      </c>
      <c r="I234" s="46">
        <f t="shared" si="133"/>
        <v>-5707.0880755314538</v>
      </c>
      <c r="J234" s="47">
        <f t="shared" si="135"/>
        <v>-6830</v>
      </c>
      <c r="K234" s="47">
        <f t="shared" si="136"/>
        <v>-8552.0128972654165</v>
      </c>
      <c r="L234" s="47">
        <f t="shared" si="137"/>
        <v>-3999.2742806698643</v>
      </c>
      <c r="M234" s="47">
        <f t="shared" si="138"/>
        <v>31170.34439990926</v>
      </c>
      <c r="N234" s="47">
        <f t="shared" si="139"/>
        <v>18212.549875752688</v>
      </c>
      <c r="O234" s="34"/>
      <c r="P234" s="36">
        <f t="shared" si="126"/>
        <v>0</v>
      </c>
      <c r="Q234" s="35"/>
      <c r="R234" s="33"/>
      <c r="S234" s="43"/>
      <c r="T234" s="19"/>
      <c r="U234" s="27">
        <f t="shared" si="140"/>
        <v>31170.34439990926</v>
      </c>
      <c r="V234" s="28">
        <f t="shared" si="140"/>
        <v>18212.549875752688</v>
      </c>
      <c r="W234" s="43"/>
      <c r="X234" s="19"/>
      <c r="Y234" s="42">
        <f t="shared" si="129"/>
        <v>0</v>
      </c>
      <c r="Z234" s="42">
        <f t="shared" si="129"/>
        <v>0</v>
      </c>
    </row>
    <row r="235" spans="1:26" hidden="1" outlineLevel="1" x14ac:dyDescent="0.25">
      <c r="A235" s="18"/>
      <c r="B235" s="38">
        <f t="shared" si="141"/>
        <v>14</v>
      </c>
      <c r="C235" s="54">
        <f t="shared" si="134"/>
        <v>115.56951872896404</v>
      </c>
      <c r="D235" s="33">
        <f>C235*VLOOKUP($A$222,Ταρίφες!$A$6:$G$23,$K$6,FALSE)*(1+$F$3)^(B235-1)</f>
        <v>52006.283428033821</v>
      </c>
      <c r="E235" s="33">
        <f>C235*VLOOKUP($A$222,Ταρίφες!$A$6:$G$23,$K$7,FALSE)*(1+$F$3)^(B235-1)</f>
        <v>34670.855618689209</v>
      </c>
      <c r="F235" s="46">
        <f t="shared" si="130"/>
        <v>-2587.213260907592</v>
      </c>
      <c r="G235" s="47">
        <f t="shared" si="131"/>
        <v>-1034.8853043630368</v>
      </c>
      <c r="H235" s="47">
        <f t="shared" si="132"/>
        <v>-3622.098565270629</v>
      </c>
      <c r="I235" s="46">
        <f t="shared" si="133"/>
        <v>-5821.2298370420822</v>
      </c>
      <c r="J235" s="47">
        <f t="shared" si="135"/>
        <v>-6830</v>
      </c>
      <c r="K235" s="47">
        <f t="shared" si="136"/>
        <v>-8348.8226797171264</v>
      </c>
      <c r="L235" s="47">
        <f t="shared" si="137"/>
        <v>-3841.6114492875267</v>
      </c>
      <c r="M235" s="47">
        <f t="shared" si="138"/>
        <v>30592.033780733353</v>
      </c>
      <c r="N235" s="47">
        <f t="shared" si="139"/>
        <v>17763.817201818343</v>
      </c>
      <c r="O235" s="34"/>
      <c r="P235" s="36">
        <f t="shared" si="126"/>
        <v>0</v>
      </c>
      <c r="Q235" s="35"/>
      <c r="R235" s="33"/>
      <c r="S235" s="43"/>
      <c r="T235" s="19"/>
      <c r="U235" s="27">
        <f t="shared" si="140"/>
        <v>30592.033780733353</v>
      </c>
      <c r="V235" s="28">
        <f t="shared" si="140"/>
        <v>17763.817201818343</v>
      </c>
      <c r="W235" s="43"/>
      <c r="X235" s="19"/>
      <c r="Y235" s="42">
        <f t="shared" si="129"/>
        <v>0</v>
      </c>
      <c r="Z235" s="42">
        <f t="shared" si="129"/>
        <v>0</v>
      </c>
    </row>
    <row r="236" spans="1:26" hidden="1" outlineLevel="1" x14ac:dyDescent="0.25">
      <c r="A236" s="18"/>
      <c r="B236" s="38">
        <f t="shared" si="141"/>
        <v>15</v>
      </c>
      <c r="C236" s="54">
        <f t="shared" si="134"/>
        <v>114.4138235416744</v>
      </c>
      <c r="D236" s="33">
        <f>C236*VLOOKUP($A$222,Ταρίφες!$A$6:$G$23,$K$6,FALSE)*(1+$F$3)^(B236-1)</f>
        <v>51486.220593753482</v>
      </c>
      <c r="E236" s="33">
        <f>C236*VLOOKUP($A$222,Ταρίφες!$A$6:$G$23,$K$7,FALSE)*(1+$F$3)^(B236-1)</f>
        <v>34324.147062502321</v>
      </c>
      <c r="F236" s="46">
        <f t="shared" si="130"/>
        <v>-2638.9575261257442</v>
      </c>
      <c r="G236" s="47">
        <f t="shared" si="131"/>
        <v>-1055.5830104502977</v>
      </c>
      <c r="H236" s="47">
        <f t="shared" si="132"/>
        <v>-3694.5405365760421</v>
      </c>
      <c r="I236" s="46">
        <f t="shared" si="133"/>
        <v>-5937.6544337829246</v>
      </c>
      <c r="J236" s="47">
        <f t="shared" si="135"/>
        <v>-6830</v>
      </c>
      <c r="K236" s="47">
        <f t="shared" si="136"/>
        <v>-8145.666122572803</v>
      </c>
      <c r="L236" s="47">
        <f t="shared" si="137"/>
        <v>-3683.5270044475014</v>
      </c>
      <c r="M236" s="47">
        <f t="shared" si="138"/>
        <v>30013.818964245671</v>
      </c>
      <c r="N236" s="47">
        <f t="shared" si="139"/>
        <v>17313.884551119812</v>
      </c>
      <c r="O236" s="34"/>
      <c r="P236" s="36">
        <f t="shared" si="126"/>
        <v>0</v>
      </c>
      <c r="Q236" s="35"/>
      <c r="R236" s="33"/>
      <c r="S236" s="43"/>
      <c r="T236" s="19"/>
      <c r="U236" s="27">
        <f t="shared" si="140"/>
        <v>30013.818964245671</v>
      </c>
      <c r="V236" s="28">
        <f t="shared" si="140"/>
        <v>17313.884551119812</v>
      </c>
      <c r="W236" s="43"/>
      <c r="X236" s="19"/>
      <c r="Y236" s="42">
        <f t="shared" si="129"/>
        <v>0</v>
      </c>
      <c r="Z236" s="42">
        <f t="shared" si="129"/>
        <v>0</v>
      </c>
    </row>
    <row r="237" spans="1:26" hidden="1" outlineLevel="1" x14ac:dyDescent="0.25">
      <c r="A237" s="18"/>
      <c r="B237" s="38">
        <f t="shared" si="141"/>
        <v>16</v>
      </c>
      <c r="C237" s="54">
        <f t="shared" si="134"/>
        <v>113.26968530625766</v>
      </c>
      <c r="D237" s="33">
        <f>C237*VLOOKUP($A$222,Ταρίφες!$A$6:$G$23,$K$6,FALSE)*(1+$F$3)^(B237-1)</f>
        <v>50971.358387815948</v>
      </c>
      <c r="E237" s="33">
        <f>C237*VLOOKUP($A$222,Ταρίφες!$A$6:$G$23,$K$7,FALSE)*(1+$F$3)^(B237-1)</f>
        <v>33980.905591877294</v>
      </c>
      <c r="F237" s="46">
        <f t="shared" si="130"/>
        <v>-2691.7366766482583</v>
      </c>
      <c r="G237" s="47">
        <f t="shared" si="131"/>
        <v>-1076.6946706593035</v>
      </c>
      <c r="H237" s="47">
        <f t="shared" si="132"/>
        <v>-3768.4313473075617</v>
      </c>
      <c r="I237" s="46">
        <f t="shared" si="133"/>
        <v>-6056.4075224585813</v>
      </c>
      <c r="J237" s="47">
        <f t="shared" si="135"/>
        <v>-6830</v>
      </c>
      <c r="K237" s="47">
        <f t="shared" si="136"/>
        <v>-7942.5029243929839</v>
      </c>
      <c r="L237" s="47">
        <f t="shared" si="137"/>
        <v>-3524.9851974489338</v>
      </c>
      <c r="M237" s="47">
        <f t="shared" si="138"/>
        <v>29435.585246349263</v>
      </c>
      <c r="N237" s="47">
        <f t="shared" si="139"/>
        <v>16862.650177354655</v>
      </c>
      <c r="O237" s="34"/>
      <c r="P237" s="36">
        <f t="shared" si="126"/>
        <v>0</v>
      </c>
      <c r="Q237" s="35"/>
      <c r="R237" s="33"/>
      <c r="S237" s="43"/>
      <c r="T237" s="19"/>
      <c r="U237" s="27">
        <f t="shared" si="140"/>
        <v>29435.585246349263</v>
      </c>
      <c r="V237" s="28">
        <f t="shared" si="140"/>
        <v>16862.650177354655</v>
      </c>
      <c r="W237" s="43"/>
      <c r="X237" s="19"/>
      <c r="Y237" s="42">
        <f t="shared" si="129"/>
        <v>0</v>
      </c>
      <c r="Z237" s="42">
        <f t="shared" si="129"/>
        <v>0</v>
      </c>
    </row>
    <row r="238" spans="1:26" hidden="1" outlineLevel="1" x14ac:dyDescent="0.25">
      <c r="A238" s="18"/>
      <c r="B238" s="38">
        <f t="shared" si="141"/>
        <v>17</v>
      </c>
      <c r="C238" s="54">
        <f t="shared" si="134"/>
        <v>112.13698845319507</v>
      </c>
      <c r="D238" s="33">
        <f>C238*VLOOKUP($A$222,Ταρίφες!$A$6:$G$23,$K$6,FALSE)*(1+$F$3)^(B238-1)</f>
        <v>50461.644803937786</v>
      </c>
      <c r="E238" s="33">
        <f>C238*VLOOKUP($A$222,Ταρίφες!$A$6:$G$23,$K$7,FALSE)*(1+$F$3)^(B238-1)</f>
        <v>33641.096535958524</v>
      </c>
      <c r="F238" s="46">
        <f t="shared" si="130"/>
        <v>-2745.5714101812241</v>
      </c>
      <c r="G238" s="47">
        <f t="shared" si="131"/>
        <v>-1098.2285640724897</v>
      </c>
      <c r="H238" s="47">
        <f t="shared" si="132"/>
        <v>-3843.7999742537136</v>
      </c>
      <c r="I238" s="46">
        <f t="shared" si="133"/>
        <v>-6177.5356729077539</v>
      </c>
      <c r="J238" s="47">
        <f t="shared" si="135"/>
        <v>-6830</v>
      </c>
      <c r="K238" s="47">
        <f t="shared" si="136"/>
        <v>-7739.2923874558774</v>
      </c>
      <c r="L238" s="47">
        <f t="shared" si="137"/>
        <v>-3365.9498377812693</v>
      </c>
      <c r="M238" s="47">
        <f t="shared" si="138"/>
        <v>28857.216795066728</v>
      </c>
      <c r="N238" s="47">
        <f t="shared" si="139"/>
        <v>16410.011076762072</v>
      </c>
      <c r="O238" s="34"/>
      <c r="P238" s="36">
        <f t="shared" si="126"/>
        <v>0</v>
      </c>
      <c r="Q238" s="35"/>
      <c r="R238" s="33"/>
      <c r="S238" s="43"/>
      <c r="T238" s="19"/>
      <c r="U238" s="27">
        <f t="shared" si="140"/>
        <v>28857.216795066728</v>
      </c>
      <c r="V238" s="28">
        <f t="shared" si="140"/>
        <v>16410.011076762072</v>
      </c>
      <c r="W238" s="43"/>
      <c r="X238" s="19"/>
      <c r="Y238" s="42">
        <f t="shared" si="129"/>
        <v>0</v>
      </c>
      <c r="Z238" s="42">
        <f t="shared" si="129"/>
        <v>0</v>
      </c>
    </row>
    <row r="239" spans="1:26" hidden="1" outlineLevel="1" x14ac:dyDescent="0.25">
      <c r="A239" s="18"/>
      <c r="B239" s="38">
        <f t="shared" si="141"/>
        <v>18</v>
      </c>
      <c r="C239" s="54">
        <f t="shared" si="134"/>
        <v>111.01561856866311</v>
      </c>
      <c r="D239" s="33">
        <f>C239*VLOOKUP($A$222,Ταρίφες!$A$6:$G$23,$K$6,FALSE)*(1+$F$3)^(B239-1)</f>
        <v>49957.028355898401</v>
      </c>
      <c r="E239" s="33">
        <f>C239*VLOOKUP($A$222,Ταρίφες!$A$6:$G$23,$K$7,FALSE)*(1+$F$3)^(B239-1)</f>
        <v>33304.685570598936</v>
      </c>
      <c r="F239" s="46">
        <f t="shared" si="130"/>
        <v>-2800.4828383848489</v>
      </c>
      <c r="G239" s="47">
        <f t="shared" si="131"/>
        <v>-1120.1931353539396</v>
      </c>
      <c r="H239" s="47">
        <f t="shared" si="132"/>
        <v>-3920.6759737387883</v>
      </c>
      <c r="I239" s="46">
        <f t="shared" si="133"/>
        <v>-6301.0863863659097</v>
      </c>
      <c r="J239" s="47">
        <f t="shared" si="135"/>
        <v>-6830</v>
      </c>
      <c r="K239" s="47">
        <f t="shared" si="136"/>
        <v>-7535.993405734278</v>
      </c>
      <c r="L239" s="47">
        <f t="shared" si="137"/>
        <v>-3206.3842815564176</v>
      </c>
      <c r="M239" s="47">
        <f t="shared" si="138"/>
        <v>28278.596616320639</v>
      </c>
      <c r="N239" s="47">
        <f t="shared" si="139"/>
        <v>15955.862955199034</v>
      </c>
      <c r="O239" s="34"/>
      <c r="P239" s="36">
        <f t="shared" si="126"/>
        <v>0</v>
      </c>
      <c r="Q239" s="35"/>
      <c r="R239" s="33"/>
      <c r="S239" s="43"/>
      <c r="T239" s="19"/>
      <c r="U239" s="27">
        <f t="shared" si="140"/>
        <v>28278.596616320639</v>
      </c>
      <c r="V239" s="28">
        <f t="shared" si="140"/>
        <v>15955.862955199034</v>
      </c>
      <c r="W239" s="43"/>
      <c r="X239" s="19"/>
      <c r="Y239" s="42">
        <f t="shared" si="129"/>
        <v>0</v>
      </c>
      <c r="Z239" s="42">
        <f t="shared" si="129"/>
        <v>0</v>
      </c>
    </row>
    <row r="240" spans="1:26" hidden="1" outlineLevel="1" x14ac:dyDescent="0.25">
      <c r="A240" s="18"/>
      <c r="B240" s="38">
        <f t="shared" si="141"/>
        <v>19</v>
      </c>
      <c r="C240" s="54">
        <f t="shared" si="134"/>
        <v>109.90546238297648</v>
      </c>
      <c r="D240" s="33">
        <f>C240*VLOOKUP($A$222,Ταρίφες!$A$6:$G$23,$K$6,FALSE)*(1+$F$3)^(B240-1)</f>
        <v>49457.458072339417</v>
      </c>
      <c r="E240" s="33">
        <f>C240*VLOOKUP($A$222,Ταρίφες!$A$6:$G$23,$K$7,FALSE)*(1+$F$3)^(B240-1)</f>
        <v>32971.638714892943</v>
      </c>
      <c r="F240" s="46">
        <f t="shared" si="130"/>
        <v>-2856.4924951525454</v>
      </c>
      <c r="G240" s="47">
        <f t="shared" si="131"/>
        <v>-1142.5969980610182</v>
      </c>
      <c r="H240" s="47">
        <f t="shared" si="132"/>
        <v>-3999.0894932135634</v>
      </c>
      <c r="I240" s="46">
        <f t="shared" si="133"/>
        <v>-6427.1081140932274</v>
      </c>
      <c r="J240" s="47">
        <f t="shared" si="135"/>
        <v>-6830</v>
      </c>
      <c r="K240" s="47">
        <f t="shared" si="136"/>
        <v>-7332.5644526729566</v>
      </c>
      <c r="L240" s="47">
        <f t="shared" si="137"/>
        <v>-3046.2514197368728</v>
      </c>
      <c r="M240" s="47">
        <f t="shared" si="138"/>
        <v>27699.606519146106</v>
      </c>
      <c r="N240" s="47">
        <f t="shared" si="139"/>
        <v>15500.100194635714</v>
      </c>
      <c r="O240" s="34"/>
      <c r="P240" s="36">
        <f t="shared" si="126"/>
        <v>0</v>
      </c>
      <c r="Q240" s="35"/>
      <c r="R240" s="33"/>
      <c r="S240" s="43"/>
      <c r="T240" s="19"/>
      <c r="U240" s="27">
        <f t="shared" si="140"/>
        <v>27699.606519146106</v>
      </c>
      <c r="V240" s="28">
        <f t="shared" si="140"/>
        <v>15500.100194635714</v>
      </c>
      <c r="W240" s="43"/>
      <c r="X240" s="19"/>
      <c r="Y240" s="42">
        <f t="shared" si="129"/>
        <v>0</v>
      </c>
      <c r="Z240" s="42">
        <f t="shared" si="129"/>
        <v>0</v>
      </c>
    </row>
    <row r="241" spans="1:26" hidden="1" outlineLevel="1" x14ac:dyDescent="0.25">
      <c r="A241" s="18"/>
      <c r="B241" s="38">
        <f>B240+1</f>
        <v>20</v>
      </c>
      <c r="C241" s="54">
        <f>C240*(1-$F$2)</f>
        <v>108.80640775914671</v>
      </c>
      <c r="D241" s="33">
        <f>C241*VLOOKUP($A$222,Ταρίφες!$A$6:$G$23,$K$6,FALSE)*(1+$F$3)^(B241-1)</f>
        <v>48962.883491616019</v>
      </c>
      <c r="E241" s="33">
        <f>C241*VLOOKUP($A$222,Ταρίφες!$A$6:$G$23,$K$7,FALSE)*(1+$F$3)^(B241-1)</f>
        <v>32641.922327744014</v>
      </c>
      <c r="F241" s="46">
        <f t="shared" si="130"/>
        <v>-2913.6223450555963</v>
      </c>
      <c r="G241" s="47">
        <f t="shared" si="131"/>
        <v>-1165.4489380222385</v>
      </c>
      <c r="H241" s="47">
        <f>-$K$4*(1+$F$4)^(B241-$B$12)</f>
        <v>-4079.0712830778348</v>
      </c>
      <c r="I241" s="46">
        <f>-(4500*(1+$F$4)^(B241-$B$12))</f>
        <v>-6555.6502763750914</v>
      </c>
      <c r="J241" s="47">
        <f t="shared" si="135"/>
        <v>-6830</v>
      </c>
      <c r="K241" s="47">
        <f>-(D241+SUM(F241:J241))*$F$5</f>
        <v>-7128.9635687621676</v>
      </c>
      <c r="L241" s="47">
        <f>-(E241+SUM(F241:J241))*$F$5</f>
        <v>-2885.5136661554457</v>
      </c>
      <c r="M241" s="47">
        <f>D241+SUM(F241:I241)+K241</f>
        <v>27120.127080323091</v>
      </c>
      <c r="N241" s="47">
        <f>E241+SUM(F241:I241)+L241</f>
        <v>15042.615819057806</v>
      </c>
      <c r="O241" s="34"/>
      <c r="P241" s="36">
        <f t="shared" si="126"/>
        <v>0</v>
      </c>
      <c r="Q241" s="35"/>
      <c r="R241" s="33"/>
      <c r="S241" s="43"/>
      <c r="T241" s="19"/>
      <c r="U241" s="27">
        <f>M241</f>
        <v>27120.127080323091</v>
      </c>
      <c r="V241" s="28">
        <f>N241</f>
        <v>15042.615819057806</v>
      </c>
      <c r="W241" s="43"/>
      <c r="X241" s="19"/>
      <c r="Y241" s="42">
        <f t="shared" si="129"/>
        <v>0</v>
      </c>
      <c r="Z241" s="42">
        <f t="shared" si="129"/>
        <v>0</v>
      </c>
    </row>
    <row r="242" spans="1:26" s="40" customFormat="1" hidden="1" outlineLevel="1" x14ac:dyDescent="0.25">
      <c r="O242" s="17"/>
      <c r="P242" s="36">
        <f t="shared" si="126"/>
        <v>0</v>
      </c>
      <c r="Q242" s="25"/>
      <c r="R242" s="22"/>
      <c r="S242" s="52"/>
      <c r="T242" s="44"/>
      <c r="U242" s="74">
        <f>O243</f>
        <v>-158000</v>
      </c>
      <c r="V242" s="74">
        <f>R243</f>
        <v>-110848.49053649105</v>
      </c>
      <c r="W242" s="52"/>
      <c r="X242" s="44"/>
      <c r="Y242" s="42">
        <f t="shared" si="129"/>
        <v>0</v>
      </c>
      <c r="Z242" s="42">
        <f t="shared" si="129"/>
        <v>0</v>
      </c>
    </row>
    <row r="243" spans="1:26" collapsed="1" x14ac:dyDescent="0.25">
      <c r="A243" s="32" t="str">
        <f>Ταρίφες!A21</f>
        <v>Δ Τριμ. 2012</v>
      </c>
      <c r="B243" s="38">
        <f>1</f>
        <v>1</v>
      </c>
      <c r="C243" s="54">
        <f>$F$8*$K$2/1000</f>
        <v>131.69999999999999</v>
      </c>
      <c r="D243" s="33">
        <f>C243*VLOOKUP($A$243,Ταρίφες!$A$6:$G$23,$K$6,FALSE)*(1+$F$3)^(B243-1)</f>
        <v>57947.999999999993</v>
      </c>
      <c r="E243" s="33">
        <f>C243*VLOOKUP($A$243,Ταρίφες!$A$6:$G$23,$K$7,FALSE)*(1+$F$3)^(B243-1)</f>
        <v>38193</v>
      </c>
      <c r="F243" s="46">
        <f t="shared" ref="F243:F262" si="142">-($K$5*(1+$F$4)^(B243-$B$12))</f>
        <v>-2000</v>
      </c>
      <c r="G243" s="47">
        <f t="shared" ref="G243:G262" si="143">-$K$2*10*(1+$F$4)^(B243-$B$12)</f>
        <v>-800</v>
      </c>
      <c r="H243" s="47">
        <f t="shared" ref="H243:H261" si="144">-$K$4*(1+$F$4)^(B243-$B$12)</f>
        <v>-2800</v>
      </c>
      <c r="I243" s="46">
        <f t="shared" ref="I243:I261" si="145">-(4500*(1+$F$4)^(B243-$B$12))</f>
        <v>-4500</v>
      </c>
      <c r="J243" s="47">
        <f>$O$243*4%</f>
        <v>-6320</v>
      </c>
      <c r="K243" s="47">
        <f>-(D243+SUM(F243:J243))*$F$5</f>
        <v>-10797.279999999999</v>
      </c>
      <c r="L243" s="47">
        <f>-(E243+SUM(F243:J243))*$F$5</f>
        <v>-5660.9800000000005</v>
      </c>
      <c r="M243" s="47">
        <f>D243+SUM(F243:I243)+K243</f>
        <v>37050.719999999994</v>
      </c>
      <c r="N243" s="47">
        <f>E243+SUM(F243:I243)+L243</f>
        <v>22432.02</v>
      </c>
      <c r="O243" s="35">
        <f>-VLOOKUP(A243,'Κόστος Κατασκευής'!$A$4:$Q$17,$K$8,FALSE)</f>
        <v>-158000</v>
      </c>
      <c r="P243" s="36">
        <f t="shared" si="126"/>
        <v>63200</v>
      </c>
      <c r="Q243" s="36">
        <f>Q222*15/16</f>
        <v>-16048.490536491048</v>
      </c>
      <c r="R243" s="37">
        <f>SUM(O243:Q243)</f>
        <v>-110848.49053649105</v>
      </c>
      <c r="S243" s="42">
        <f>IRR(U242:U262)</f>
        <v>0.21535131438899402</v>
      </c>
      <c r="T243" s="42">
        <f>IRR(V242:V262)</f>
        <v>0.17736908010186925</v>
      </c>
      <c r="U243" s="27">
        <f>M243</f>
        <v>37050.719999999994</v>
      </c>
      <c r="V243" s="28">
        <f>N243</f>
        <v>22432.02</v>
      </c>
      <c r="W243" s="42">
        <f>'IRR ΔΣ Ισχύον'!S243</f>
        <v>0.21842175994894975</v>
      </c>
      <c r="X243" s="42">
        <f>'IRR ΔΣ Ισχύον'!T243</f>
        <v>0.16295368612649752</v>
      </c>
      <c r="Y243" s="42">
        <f t="shared" si="129"/>
        <v>-3.0704455599557257E-3</v>
      </c>
      <c r="Z243" s="42">
        <f t="shared" si="129"/>
        <v>1.4415393975371726E-2</v>
      </c>
    </row>
    <row r="244" spans="1:26" hidden="1" outlineLevel="1" x14ac:dyDescent="0.25">
      <c r="A244" s="18"/>
      <c r="B244" s="38">
        <f>B243+1</f>
        <v>2</v>
      </c>
      <c r="C244" s="54">
        <f t="shared" ref="C244:C261" si="146">C243*(1-$F$2)</f>
        <v>130.38299999999998</v>
      </c>
      <c r="D244" s="33">
        <f>C244*VLOOKUP($A$243,Ταρίφες!$A$6:$G$23,$K$6,FALSE)*(1+$F$3)^(B244-1)</f>
        <v>57368.51999999999</v>
      </c>
      <c r="E244" s="33">
        <f>C244*VLOOKUP($A$243,Ταρίφες!$A$6:$G$23,$K$7,FALSE)*(1+$F$3)^(B244-1)</f>
        <v>37811.069999999992</v>
      </c>
      <c r="F244" s="46">
        <f t="shared" si="142"/>
        <v>-2040</v>
      </c>
      <c r="G244" s="47">
        <f t="shared" si="143"/>
        <v>-816</v>
      </c>
      <c r="H244" s="47">
        <f t="shared" si="144"/>
        <v>-2856</v>
      </c>
      <c r="I244" s="46">
        <f t="shared" si="145"/>
        <v>-4590</v>
      </c>
      <c r="J244" s="47">
        <f t="shared" ref="J244:J262" si="147">$O$222*4%</f>
        <v>-6830</v>
      </c>
      <c r="K244" s="47">
        <f t="shared" ref="K244:K261" si="148">-(D244+SUM(F244:J244))*$F$5</f>
        <v>-10461.495199999998</v>
      </c>
      <c r="L244" s="47">
        <f t="shared" ref="L244:L261" si="149">-(E244+SUM(F244:J244))*$F$5</f>
        <v>-5376.5581999999986</v>
      </c>
      <c r="M244" s="47">
        <f t="shared" ref="M244:M261" si="150">D244+SUM(F244:I244)+K244</f>
        <v>36605.024799999992</v>
      </c>
      <c r="N244" s="47">
        <f t="shared" ref="N244:N261" si="151">E244+SUM(F244:I244)+L244</f>
        <v>22132.511799999993</v>
      </c>
      <c r="O244" s="34"/>
      <c r="P244" s="36">
        <f t="shared" si="126"/>
        <v>0</v>
      </c>
      <c r="Q244" s="35"/>
      <c r="R244" s="33"/>
      <c r="S244" s="43"/>
      <c r="T244" s="19"/>
      <c r="U244" s="27">
        <f t="shared" ref="U244:V261" si="152">M244</f>
        <v>36605.024799999992</v>
      </c>
      <c r="V244" s="28">
        <f t="shared" si="152"/>
        <v>22132.511799999993</v>
      </c>
      <c r="W244" s="43"/>
      <c r="X244" s="19"/>
      <c r="Y244" s="42">
        <f t="shared" si="129"/>
        <v>0</v>
      </c>
      <c r="Z244" s="42">
        <f t="shared" si="129"/>
        <v>0</v>
      </c>
    </row>
    <row r="245" spans="1:26" hidden="1" outlineLevel="1" x14ac:dyDescent="0.25">
      <c r="A245" s="18"/>
      <c r="B245" s="38">
        <f t="shared" ref="B245:B261" si="153">B244+1</f>
        <v>3</v>
      </c>
      <c r="C245" s="54">
        <f t="shared" si="146"/>
        <v>129.07916999999998</v>
      </c>
      <c r="D245" s="33">
        <f>C245*VLOOKUP($A$243,Ταρίφες!$A$6:$G$23,$K$6,FALSE)*(1+$F$3)^(B245-1)</f>
        <v>56794.83479999999</v>
      </c>
      <c r="E245" s="33">
        <f>C245*VLOOKUP($A$243,Ταρίφες!$A$6:$G$23,$K$7,FALSE)*(1+$F$3)^(B245-1)</f>
        <v>37432.959299999995</v>
      </c>
      <c r="F245" s="46">
        <f t="shared" si="142"/>
        <v>-2080.8000000000002</v>
      </c>
      <c r="G245" s="47">
        <f t="shared" si="143"/>
        <v>-832.31999999999994</v>
      </c>
      <c r="H245" s="47">
        <f t="shared" si="144"/>
        <v>-2913.12</v>
      </c>
      <c r="I245" s="46">
        <f t="shared" si="145"/>
        <v>-4681.8</v>
      </c>
      <c r="J245" s="47">
        <f t="shared" si="147"/>
        <v>-6830</v>
      </c>
      <c r="K245" s="47">
        <f t="shared" si="148"/>
        <v>-10258.766647999997</v>
      </c>
      <c r="L245" s="47">
        <f t="shared" si="149"/>
        <v>-5224.6790179999989</v>
      </c>
      <c r="M245" s="47">
        <f t="shared" si="150"/>
        <v>36028.028151999992</v>
      </c>
      <c r="N245" s="47">
        <f t="shared" si="151"/>
        <v>21700.240281999995</v>
      </c>
      <c r="O245" s="34"/>
      <c r="P245" s="36">
        <f t="shared" si="126"/>
        <v>0</v>
      </c>
      <c r="Q245" s="35"/>
      <c r="R245" s="33"/>
      <c r="S245" s="43"/>
      <c r="T245" s="19"/>
      <c r="U245" s="27">
        <f t="shared" si="152"/>
        <v>36028.028151999992</v>
      </c>
      <c r="V245" s="28">
        <f t="shared" si="152"/>
        <v>21700.240281999995</v>
      </c>
      <c r="W245" s="43"/>
      <c r="X245" s="19"/>
      <c r="Y245" s="42">
        <f t="shared" si="129"/>
        <v>0</v>
      </c>
      <c r="Z245" s="42">
        <f t="shared" si="129"/>
        <v>0</v>
      </c>
    </row>
    <row r="246" spans="1:26" hidden="1" outlineLevel="1" x14ac:dyDescent="0.25">
      <c r="A246" s="18"/>
      <c r="B246" s="38">
        <f t="shared" si="153"/>
        <v>4</v>
      </c>
      <c r="C246" s="54">
        <f t="shared" si="146"/>
        <v>127.78837829999998</v>
      </c>
      <c r="D246" s="33">
        <f>C246*VLOOKUP($A$243,Ταρίφες!$A$6:$G$23,$K$6,FALSE)*(1+$F$3)^(B246-1)</f>
        <v>56226.886451999992</v>
      </c>
      <c r="E246" s="33">
        <f>C246*VLOOKUP($A$243,Ταρίφες!$A$6:$G$23,$K$7,FALSE)*(1+$F$3)^(B246-1)</f>
        <v>37058.629706999993</v>
      </c>
      <c r="F246" s="46">
        <f t="shared" si="142"/>
        <v>-2122.4159999999997</v>
      </c>
      <c r="G246" s="47">
        <f t="shared" si="143"/>
        <v>-848.96639999999991</v>
      </c>
      <c r="H246" s="47">
        <f t="shared" si="144"/>
        <v>-2971.3824</v>
      </c>
      <c r="I246" s="46">
        <f t="shared" si="145"/>
        <v>-4775.4359999999997</v>
      </c>
      <c r="J246" s="47">
        <f t="shared" si="147"/>
        <v>-6830</v>
      </c>
      <c r="K246" s="47">
        <f t="shared" si="148"/>
        <v>-10056.458269519999</v>
      </c>
      <c r="L246" s="47">
        <f t="shared" si="149"/>
        <v>-5072.7115158199986</v>
      </c>
      <c r="M246" s="47">
        <f t="shared" si="150"/>
        <v>35452.227382479992</v>
      </c>
      <c r="N246" s="47">
        <f t="shared" si="151"/>
        <v>21267.717391179995</v>
      </c>
      <c r="O246" s="34"/>
      <c r="P246" s="36">
        <f t="shared" si="126"/>
        <v>0</v>
      </c>
      <c r="Q246" s="35"/>
      <c r="R246" s="33"/>
      <c r="S246" s="43"/>
      <c r="T246" s="19"/>
      <c r="U246" s="27">
        <f t="shared" si="152"/>
        <v>35452.227382479992</v>
      </c>
      <c r="V246" s="28">
        <f t="shared" si="152"/>
        <v>21267.717391179995</v>
      </c>
      <c r="W246" s="43"/>
      <c r="X246" s="19"/>
      <c r="Y246" s="42">
        <f t="shared" si="129"/>
        <v>0</v>
      </c>
      <c r="Z246" s="42">
        <f t="shared" si="129"/>
        <v>0</v>
      </c>
    </row>
    <row r="247" spans="1:26" hidden="1" outlineLevel="1" x14ac:dyDescent="0.25">
      <c r="A247" s="18"/>
      <c r="B247" s="38">
        <f t="shared" si="153"/>
        <v>5</v>
      </c>
      <c r="C247" s="54">
        <f t="shared" si="146"/>
        <v>126.51049451699997</v>
      </c>
      <c r="D247" s="33">
        <f>C247*VLOOKUP($A$243,Ταρίφες!$A$6:$G$23,$K$6,FALSE)*(1+$F$3)^(B247-1)</f>
        <v>55664.617587479988</v>
      </c>
      <c r="E247" s="33">
        <f>C247*VLOOKUP($A$243,Ταρίφες!$A$6:$G$23,$K$7,FALSE)*(1+$F$3)^(B247-1)</f>
        <v>36688.043409929989</v>
      </c>
      <c r="F247" s="46">
        <f t="shared" si="142"/>
        <v>-2164.8643200000001</v>
      </c>
      <c r="G247" s="47">
        <f t="shared" si="143"/>
        <v>-865.94572800000003</v>
      </c>
      <c r="H247" s="47">
        <f t="shared" si="144"/>
        <v>-3030.8100479999998</v>
      </c>
      <c r="I247" s="46">
        <f t="shared" si="145"/>
        <v>-4870.9447199999995</v>
      </c>
      <c r="J247" s="47">
        <f t="shared" si="147"/>
        <v>-6830</v>
      </c>
      <c r="K247" s="47">
        <f t="shared" si="148"/>
        <v>-9854.5337205847973</v>
      </c>
      <c r="L247" s="47">
        <f t="shared" si="149"/>
        <v>-4920.6244344217976</v>
      </c>
      <c r="M247" s="47">
        <f t="shared" si="150"/>
        <v>34877.519050895193</v>
      </c>
      <c r="N247" s="47">
        <f t="shared" si="151"/>
        <v>20834.854159508192</v>
      </c>
      <c r="O247" s="34"/>
      <c r="P247" s="36">
        <f t="shared" si="126"/>
        <v>0</v>
      </c>
      <c r="Q247" s="35"/>
      <c r="R247" s="33"/>
      <c r="S247" s="43"/>
      <c r="T247" s="19"/>
      <c r="U247" s="27">
        <f t="shared" si="152"/>
        <v>34877.519050895193</v>
      </c>
      <c r="V247" s="28">
        <f t="shared" si="152"/>
        <v>20834.854159508192</v>
      </c>
      <c r="W247" s="43"/>
      <c r="X247" s="19"/>
      <c r="Y247" s="42">
        <f t="shared" si="129"/>
        <v>0</v>
      </c>
      <c r="Z247" s="42">
        <f t="shared" si="129"/>
        <v>0</v>
      </c>
    </row>
    <row r="248" spans="1:26" hidden="1" outlineLevel="1" x14ac:dyDescent="0.25">
      <c r="A248" s="18"/>
      <c r="B248" s="38">
        <f t="shared" si="153"/>
        <v>6</v>
      </c>
      <c r="C248" s="54">
        <f t="shared" si="146"/>
        <v>125.24538957182997</v>
      </c>
      <c r="D248" s="33">
        <f>C248*VLOOKUP($A$243,Ταρίφες!$A$6:$G$23,$K$6,FALSE)*(1+$F$3)^(B248-1)</f>
        <v>55107.971411605191</v>
      </c>
      <c r="E248" s="33">
        <f>C248*VLOOKUP($A$243,Ταρίφες!$A$6:$G$23,$K$7,FALSE)*(1+$F$3)^(B248-1)</f>
        <v>36321.162975830695</v>
      </c>
      <c r="F248" s="46">
        <f t="shared" si="142"/>
        <v>-2208.1616064</v>
      </c>
      <c r="G248" s="47">
        <f t="shared" si="143"/>
        <v>-883.26464255999997</v>
      </c>
      <c r="H248" s="47">
        <f t="shared" si="144"/>
        <v>-3091.4262489600001</v>
      </c>
      <c r="I248" s="46">
        <f t="shared" si="145"/>
        <v>-4968.3636144000002</v>
      </c>
      <c r="J248" s="47">
        <f t="shared" si="147"/>
        <v>-6830</v>
      </c>
      <c r="K248" s="47">
        <f t="shared" si="148"/>
        <v>-9652.956377814151</v>
      </c>
      <c r="L248" s="47">
        <f t="shared" si="149"/>
        <v>-4768.3861845127813</v>
      </c>
      <c r="M248" s="47">
        <f t="shared" si="150"/>
        <v>34303.79892147104</v>
      </c>
      <c r="N248" s="47">
        <f t="shared" si="151"/>
        <v>20401.560678997914</v>
      </c>
      <c r="O248" s="34"/>
      <c r="P248" s="36">
        <f t="shared" si="126"/>
        <v>0</v>
      </c>
      <c r="Q248" s="35"/>
      <c r="R248" s="33"/>
      <c r="S248" s="43"/>
      <c r="T248" s="19"/>
      <c r="U248" s="27">
        <f t="shared" si="152"/>
        <v>34303.79892147104</v>
      </c>
      <c r="V248" s="28">
        <f t="shared" si="152"/>
        <v>20401.560678997914</v>
      </c>
      <c r="W248" s="43"/>
      <c r="X248" s="19"/>
      <c r="Y248" s="42">
        <f t="shared" si="129"/>
        <v>0</v>
      </c>
      <c r="Z248" s="42">
        <f t="shared" si="129"/>
        <v>0</v>
      </c>
    </row>
    <row r="249" spans="1:26" hidden="1" outlineLevel="1" x14ac:dyDescent="0.25">
      <c r="A249" s="18"/>
      <c r="B249" s="38">
        <f t="shared" si="153"/>
        <v>7</v>
      </c>
      <c r="C249" s="54">
        <f t="shared" si="146"/>
        <v>123.99293567611167</v>
      </c>
      <c r="D249" s="33">
        <f>C249*VLOOKUP($A$243,Ταρίφες!$A$6:$G$23,$K$6,FALSE)*(1+$F$3)^(B249-1)</f>
        <v>54556.891697489133</v>
      </c>
      <c r="E249" s="33">
        <f>C249*VLOOKUP($A$243,Ταρίφες!$A$6:$G$23,$K$7,FALSE)*(1+$F$3)^(B249-1)</f>
        <v>35957.951346072383</v>
      </c>
      <c r="F249" s="46">
        <f t="shared" si="142"/>
        <v>-2252.3248385280003</v>
      </c>
      <c r="G249" s="47">
        <f t="shared" si="143"/>
        <v>-900.92993541120006</v>
      </c>
      <c r="H249" s="47">
        <f t="shared" si="144"/>
        <v>-3153.2547739392003</v>
      </c>
      <c r="I249" s="46">
        <f t="shared" si="145"/>
        <v>-5067.7308866880003</v>
      </c>
      <c r="J249" s="47">
        <f t="shared" si="147"/>
        <v>-6830</v>
      </c>
      <c r="K249" s="47">
        <f t="shared" si="148"/>
        <v>-9451.6893283599111</v>
      </c>
      <c r="L249" s="47">
        <f t="shared" si="149"/>
        <v>-4615.9648369915558</v>
      </c>
      <c r="M249" s="47">
        <f t="shared" si="150"/>
        <v>33730.961934562823</v>
      </c>
      <c r="N249" s="47">
        <f t="shared" si="151"/>
        <v>19967.746074514427</v>
      </c>
      <c r="O249" s="34"/>
      <c r="P249" s="36">
        <f t="shared" si="126"/>
        <v>0</v>
      </c>
      <c r="Q249" s="35"/>
      <c r="R249" s="33"/>
      <c r="S249" s="43"/>
      <c r="T249" s="19"/>
      <c r="U249" s="27">
        <f t="shared" si="152"/>
        <v>33730.961934562823</v>
      </c>
      <c r="V249" s="28">
        <f t="shared" si="152"/>
        <v>19967.746074514427</v>
      </c>
      <c r="W249" s="43"/>
      <c r="X249" s="19"/>
      <c r="Y249" s="42">
        <f t="shared" si="129"/>
        <v>0</v>
      </c>
      <c r="Z249" s="42">
        <f t="shared" si="129"/>
        <v>0</v>
      </c>
    </row>
    <row r="250" spans="1:26" hidden="1" outlineLevel="1" x14ac:dyDescent="0.25">
      <c r="A250" s="18"/>
      <c r="B250" s="38">
        <f t="shared" si="153"/>
        <v>8</v>
      </c>
      <c r="C250" s="54">
        <f t="shared" si="146"/>
        <v>122.75300631935055</v>
      </c>
      <c r="D250" s="33">
        <f>C250*VLOOKUP($A$243,Ταρίφες!$A$6:$G$23,$K$6,FALSE)*(1+$F$3)^(B250-1)</f>
        <v>54011.322780514238</v>
      </c>
      <c r="E250" s="33">
        <f>C250*VLOOKUP($A$243,Ταρίφες!$A$6:$G$23,$K$7,FALSE)*(1+$F$3)^(B250-1)</f>
        <v>35598.371832611658</v>
      </c>
      <c r="F250" s="46">
        <f t="shared" si="142"/>
        <v>-2297.3713352985596</v>
      </c>
      <c r="G250" s="47">
        <f t="shared" si="143"/>
        <v>-918.94853411942381</v>
      </c>
      <c r="H250" s="47">
        <f t="shared" si="144"/>
        <v>-3216.3198694179837</v>
      </c>
      <c r="I250" s="46">
        <f t="shared" si="145"/>
        <v>-5169.0855044217587</v>
      </c>
      <c r="J250" s="47">
        <f t="shared" si="147"/>
        <v>-6830</v>
      </c>
      <c r="K250" s="47">
        <f t="shared" si="148"/>
        <v>-9250.6953596866952</v>
      </c>
      <c r="L250" s="47">
        <f t="shared" si="149"/>
        <v>-4463.3281132320226</v>
      </c>
      <c r="M250" s="47">
        <f t="shared" si="150"/>
        <v>33158.90217756982</v>
      </c>
      <c r="N250" s="47">
        <f t="shared" si="151"/>
        <v>19533.318476121909</v>
      </c>
      <c r="O250" s="34"/>
      <c r="P250" s="36">
        <f t="shared" si="126"/>
        <v>0</v>
      </c>
      <c r="Q250" s="35"/>
      <c r="R250" s="33"/>
      <c r="S250" s="43"/>
      <c r="T250" s="19"/>
      <c r="U250" s="27">
        <f t="shared" si="152"/>
        <v>33158.90217756982</v>
      </c>
      <c r="V250" s="28">
        <f t="shared" si="152"/>
        <v>19533.318476121909</v>
      </c>
      <c r="W250" s="43"/>
      <c r="X250" s="19"/>
      <c r="Y250" s="42">
        <f t="shared" si="129"/>
        <v>0</v>
      </c>
      <c r="Z250" s="42">
        <f t="shared" si="129"/>
        <v>0</v>
      </c>
    </row>
    <row r="251" spans="1:26" hidden="1" outlineLevel="1" x14ac:dyDescent="0.25">
      <c r="A251" s="18"/>
      <c r="B251" s="38">
        <f t="shared" si="153"/>
        <v>9</v>
      </c>
      <c r="C251" s="54">
        <f t="shared" si="146"/>
        <v>121.52547625615703</v>
      </c>
      <c r="D251" s="33">
        <f>C251*VLOOKUP($A$243,Ταρίφες!$A$6:$G$23,$K$6,FALSE)*(1+$F$3)^(B251-1)</f>
        <v>53471.209552709093</v>
      </c>
      <c r="E251" s="33">
        <f>C251*VLOOKUP($A$243,Ταρίφες!$A$6:$G$23,$K$7,FALSE)*(1+$F$3)^(B251-1)</f>
        <v>35242.388114285539</v>
      </c>
      <c r="F251" s="46">
        <f t="shared" si="142"/>
        <v>-2343.318762004531</v>
      </c>
      <c r="G251" s="47">
        <f t="shared" si="143"/>
        <v>-937.32750480181244</v>
      </c>
      <c r="H251" s="47">
        <f t="shared" si="144"/>
        <v>-3280.6462668063436</v>
      </c>
      <c r="I251" s="46">
        <f t="shared" si="145"/>
        <v>-5272.4672145101949</v>
      </c>
      <c r="J251" s="47">
        <f t="shared" si="147"/>
        <v>-6830</v>
      </c>
      <c r="K251" s="47">
        <f t="shared" si="148"/>
        <v>-9049.9369491924153</v>
      </c>
      <c r="L251" s="47">
        <f t="shared" si="149"/>
        <v>-4310.4433752022915</v>
      </c>
      <c r="M251" s="47">
        <f t="shared" si="150"/>
        <v>32587.512855393798</v>
      </c>
      <c r="N251" s="47">
        <f t="shared" si="151"/>
        <v>19098.184990960366</v>
      </c>
      <c r="O251" s="34"/>
      <c r="P251" s="36">
        <f t="shared" si="126"/>
        <v>0</v>
      </c>
      <c r="Q251" s="35"/>
      <c r="R251" s="33"/>
      <c r="S251" s="43"/>
      <c r="T251" s="19"/>
      <c r="U251" s="27">
        <f t="shared" si="152"/>
        <v>32587.512855393798</v>
      </c>
      <c r="V251" s="28">
        <f t="shared" si="152"/>
        <v>19098.184990960366</v>
      </c>
      <c r="W251" s="43"/>
      <c r="X251" s="19"/>
      <c r="Y251" s="42">
        <f t="shared" si="129"/>
        <v>0</v>
      </c>
      <c r="Z251" s="42">
        <f t="shared" si="129"/>
        <v>0</v>
      </c>
    </row>
    <row r="252" spans="1:26" hidden="1" outlineLevel="1" x14ac:dyDescent="0.25">
      <c r="A252" s="18"/>
      <c r="B252" s="38">
        <f t="shared" si="153"/>
        <v>10</v>
      </c>
      <c r="C252" s="54">
        <f t="shared" si="146"/>
        <v>120.31022149359546</v>
      </c>
      <c r="D252" s="33">
        <f>C252*VLOOKUP($A$243,Ταρίφες!$A$6:$G$23,$K$6,FALSE)*(1+$F$3)^(B252-1)</f>
        <v>52936.497457182006</v>
      </c>
      <c r="E252" s="33">
        <f>C252*VLOOKUP($A$243,Ταρίφες!$A$6:$G$23,$K$7,FALSE)*(1+$F$3)^(B252-1)</f>
        <v>34889.964233142688</v>
      </c>
      <c r="F252" s="46">
        <f t="shared" si="142"/>
        <v>-2390.1851372446217</v>
      </c>
      <c r="G252" s="47">
        <f t="shared" si="143"/>
        <v>-956.07405489784867</v>
      </c>
      <c r="H252" s="47">
        <f t="shared" si="144"/>
        <v>-3346.2591921424705</v>
      </c>
      <c r="I252" s="46">
        <f t="shared" si="145"/>
        <v>-5377.9165588003989</v>
      </c>
      <c r="J252" s="47">
        <f t="shared" si="147"/>
        <v>-6830</v>
      </c>
      <c r="K252" s="47">
        <f t="shared" si="148"/>
        <v>-8849.3762536651338</v>
      </c>
      <c r="L252" s="47">
        <f t="shared" si="149"/>
        <v>-4157.2776154149105</v>
      </c>
      <c r="M252" s="47">
        <f t="shared" si="150"/>
        <v>32016.686260431532</v>
      </c>
      <c r="N252" s="47">
        <f t="shared" si="151"/>
        <v>18662.251674642437</v>
      </c>
      <c r="O252" s="34"/>
      <c r="P252" s="36">
        <f t="shared" si="126"/>
        <v>0</v>
      </c>
      <c r="Q252" s="35"/>
      <c r="R252" s="33"/>
      <c r="S252" s="43"/>
      <c r="T252" s="19"/>
      <c r="U252" s="27">
        <f t="shared" si="152"/>
        <v>32016.686260431532</v>
      </c>
      <c r="V252" s="28">
        <f t="shared" si="152"/>
        <v>18662.251674642437</v>
      </c>
      <c r="W252" s="43"/>
      <c r="X252" s="19"/>
      <c r="Y252" s="42">
        <f t="shared" si="129"/>
        <v>0</v>
      </c>
      <c r="Z252" s="42">
        <f t="shared" si="129"/>
        <v>0</v>
      </c>
    </row>
    <row r="253" spans="1:26" hidden="1" outlineLevel="1" x14ac:dyDescent="0.25">
      <c r="A253" s="18"/>
      <c r="B253" s="38">
        <f t="shared" si="153"/>
        <v>11</v>
      </c>
      <c r="C253" s="54">
        <f t="shared" si="146"/>
        <v>119.10711927865951</v>
      </c>
      <c r="D253" s="33">
        <f>C253*VLOOKUP($A$243,Ταρίφες!$A$6:$G$23,$K$6,FALSE)*(1+$F$3)^(B253-1)</f>
        <v>52407.132482610185</v>
      </c>
      <c r="E253" s="33">
        <f>C253*VLOOKUP($A$243,Ταρίφες!$A$6:$G$23,$K$7,FALSE)*(1+$F$3)^(B253-1)</f>
        <v>34541.064590811256</v>
      </c>
      <c r="F253" s="46">
        <f t="shared" si="142"/>
        <v>-2437.9888399895144</v>
      </c>
      <c r="G253" s="47">
        <f t="shared" si="143"/>
        <v>-975.1955359958057</v>
      </c>
      <c r="H253" s="47">
        <f t="shared" si="144"/>
        <v>-3413.18437598532</v>
      </c>
      <c r="I253" s="46">
        <f t="shared" si="145"/>
        <v>-5485.4748899764072</v>
      </c>
      <c r="J253" s="47">
        <f t="shared" si="147"/>
        <v>-6830</v>
      </c>
      <c r="K253" s="47">
        <f t="shared" si="148"/>
        <v>-8648.9750985724168</v>
      </c>
      <c r="L253" s="47">
        <f t="shared" si="149"/>
        <v>-4003.7974467046952</v>
      </c>
      <c r="M253" s="47">
        <f t="shared" si="150"/>
        <v>31446.313742090722</v>
      </c>
      <c r="N253" s="47">
        <f t="shared" si="151"/>
        <v>18225.423502159516</v>
      </c>
      <c r="O253" s="34"/>
      <c r="P253" s="36">
        <f t="shared" si="126"/>
        <v>0</v>
      </c>
      <c r="Q253" s="35"/>
      <c r="R253" s="33"/>
      <c r="S253" s="43"/>
      <c r="T253" s="19"/>
      <c r="U253" s="27">
        <f t="shared" si="152"/>
        <v>31446.313742090722</v>
      </c>
      <c r="V253" s="28">
        <f t="shared" si="152"/>
        <v>18225.423502159516</v>
      </c>
      <c r="W253" s="43"/>
      <c r="X253" s="19"/>
      <c r="Y253" s="42">
        <f t="shared" si="129"/>
        <v>0</v>
      </c>
      <c r="Z253" s="42">
        <f t="shared" si="129"/>
        <v>0</v>
      </c>
    </row>
    <row r="254" spans="1:26" hidden="1" outlineLevel="1" x14ac:dyDescent="0.25">
      <c r="A254" s="18"/>
      <c r="B254" s="38">
        <f t="shared" si="153"/>
        <v>12</v>
      </c>
      <c r="C254" s="54">
        <f t="shared" si="146"/>
        <v>117.91604808587292</v>
      </c>
      <c r="D254" s="33">
        <f>C254*VLOOKUP($A$243,Ταρίφες!$A$6:$G$23,$K$6,FALSE)*(1+$F$3)^(B254-1)</f>
        <v>51883.061157784083</v>
      </c>
      <c r="E254" s="33">
        <f>C254*VLOOKUP($A$243,Ταρίφες!$A$6:$G$23,$K$7,FALSE)*(1+$F$3)^(B254-1)</f>
        <v>34195.653944903148</v>
      </c>
      <c r="F254" s="46">
        <f t="shared" si="142"/>
        <v>-2486.7486167893039</v>
      </c>
      <c r="G254" s="47">
        <f t="shared" si="143"/>
        <v>-994.69944671572159</v>
      </c>
      <c r="H254" s="47">
        <f t="shared" si="144"/>
        <v>-3481.4480635050259</v>
      </c>
      <c r="I254" s="46">
        <f t="shared" si="145"/>
        <v>-5595.1843877759338</v>
      </c>
      <c r="J254" s="47">
        <f t="shared" si="147"/>
        <v>-6830</v>
      </c>
      <c r="K254" s="47">
        <f t="shared" si="148"/>
        <v>-8448.6949671795046</v>
      </c>
      <c r="L254" s="47">
        <f t="shared" si="149"/>
        <v>-3849.9690918304623</v>
      </c>
      <c r="M254" s="47">
        <f t="shared" si="150"/>
        <v>30876.285675818592</v>
      </c>
      <c r="N254" s="47">
        <f t="shared" si="151"/>
        <v>17787.604338286699</v>
      </c>
      <c r="O254" s="34"/>
      <c r="P254" s="36">
        <f t="shared" si="126"/>
        <v>0</v>
      </c>
      <c r="Q254" s="35"/>
      <c r="R254" s="33"/>
      <c r="S254" s="43"/>
      <c r="T254" s="19"/>
      <c r="U254" s="27">
        <f t="shared" si="152"/>
        <v>30876.285675818592</v>
      </c>
      <c r="V254" s="28">
        <f t="shared" si="152"/>
        <v>17787.604338286699</v>
      </c>
      <c r="W254" s="43"/>
      <c r="X254" s="19"/>
      <c r="Y254" s="42">
        <f t="shared" si="129"/>
        <v>0</v>
      </c>
      <c r="Z254" s="42">
        <f t="shared" si="129"/>
        <v>0</v>
      </c>
    </row>
    <row r="255" spans="1:26" hidden="1" outlineLevel="1" x14ac:dyDescent="0.25">
      <c r="A255" s="18"/>
      <c r="B255" s="38">
        <f t="shared" si="153"/>
        <v>13</v>
      </c>
      <c r="C255" s="54">
        <f t="shared" si="146"/>
        <v>116.73688760501419</v>
      </c>
      <c r="D255" s="33">
        <f>C255*VLOOKUP($A$243,Ταρίφες!$A$6:$G$23,$K$6,FALSE)*(1+$F$3)^(B255-1)</f>
        <v>51364.230546206243</v>
      </c>
      <c r="E255" s="33">
        <f>C255*VLOOKUP($A$243,Ταρίφες!$A$6:$G$23,$K$7,FALSE)*(1+$F$3)^(B255-1)</f>
        <v>33853.697405454113</v>
      </c>
      <c r="F255" s="46">
        <f t="shared" si="142"/>
        <v>-2536.4835891250905</v>
      </c>
      <c r="G255" s="47">
        <f t="shared" si="143"/>
        <v>-1014.5934356500362</v>
      </c>
      <c r="H255" s="47">
        <f t="shared" si="144"/>
        <v>-3551.0770247751266</v>
      </c>
      <c r="I255" s="46">
        <f t="shared" si="145"/>
        <v>-5707.0880755314538</v>
      </c>
      <c r="J255" s="47">
        <f t="shared" si="147"/>
        <v>-6830</v>
      </c>
      <c r="K255" s="47">
        <f t="shared" si="148"/>
        <v>-8248.4969894923797</v>
      </c>
      <c r="L255" s="47">
        <f t="shared" si="149"/>
        <v>-3695.7583728968261</v>
      </c>
      <c r="M255" s="47">
        <f t="shared" si="150"/>
        <v>30306.491431632159</v>
      </c>
      <c r="N255" s="47">
        <f t="shared" si="151"/>
        <v>17348.69690747558</v>
      </c>
      <c r="O255" s="34"/>
      <c r="P255" s="36">
        <f t="shared" si="126"/>
        <v>0</v>
      </c>
      <c r="Q255" s="35"/>
      <c r="R255" s="33"/>
      <c r="S255" s="43"/>
      <c r="T255" s="19"/>
      <c r="U255" s="27">
        <f t="shared" si="152"/>
        <v>30306.491431632159</v>
      </c>
      <c r="V255" s="28">
        <f t="shared" si="152"/>
        <v>17348.69690747558</v>
      </c>
      <c r="W255" s="43"/>
      <c r="X255" s="19"/>
      <c r="Y255" s="42">
        <f t="shared" si="129"/>
        <v>0</v>
      </c>
      <c r="Z255" s="42">
        <f t="shared" si="129"/>
        <v>0</v>
      </c>
    </row>
    <row r="256" spans="1:26" hidden="1" outlineLevel="1" x14ac:dyDescent="0.25">
      <c r="A256" s="18"/>
      <c r="B256" s="38">
        <f t="shared" si="153"/>
        <v>14</v>
      </c>
      <c r="C256" s="54">
        <f t="shared" si="146"/>
        <v>115.56951872896404</v>
      </c>
      <c r="D256" s="33">
        <f>C256*VLOOKUP($A$243,Ταρίφες!$A$6:$G$23,$K$6,FALSE)*(1+$F$3)^(B256-1)</f>
        <v>50850.588240744175</v>
      </c>
      <c r="E256" s="33">
        <f>C256*VLOOKUP($A$243,Ταρίφες!$A$6:$G$23,$K$7,FALSE)*(1+$F$3)^(B256-1)</f>
        <v>33515.16043139957</v>
      </c>
      <c r="F256" s="46">
        <f t="shared" si="142"/>
        <v>-2587.213260907592</v>
      </c>
      <c r="G256" s="47">
        <f t="shared" si="143"/>
        <v>-1034.8853043630368</v>
      </c>
      <c r="H256" s="47">
        <f t="shared" si="144"/>
        <v>-3622.098565270629</v>
      </c>
      <c r="I256" s="46">
        <f t="shared" si="145"/>
        <v>-5821.2298370420822</v>
      </c>
      <c r="J256" s="47">
        <f t="shared" si="147"/>
        <v>-6830</v>
      </c>
      <c r="K256" s="47">
        <f t="shared" si="148"/>
        <v>-8048.3419310218178</v>
      </c>
      <c r="L256" s="47">
        <f t="shared" si="149"/>
        <v>-3541.1307005922204</v>
      </c>
      <c r="M256" s="47">
        <f t="shared" si="150"/>
        <v>29736.819342139017</v>
      </c>
      <c r="N256" s="47">
        <f t="shared" si="151"/>
        <v>16908.602763224011</v>
      </c>
      <c r="O256" s="34"/>
      <c r="P256" s="36">
        <f t="shared" si="126"/>
        <v>0</v>
      </c>
      <c r="Q256" s="35"/>
      <c r="R256" s="33"/>
      <c r="S256" s="43"/>
      <c r="T256" s="19"/>
      <c r="U256" s="27">
        <f t="shared" si="152"/>
        <v>29736.819342139017</v>
      </c>
      <c r="V256" s="28">
        <f t="shared" si="152"/>
        <v>16908.602763224011</v>
      </c>
      <c r="W256" s="43"/>
      <c r="X256" s="19"/>
      <c r="Y256" s="42">
        <f t="shared" si="129"/>
        <v>0</v>
      </c>
      <c r="Z256" s="42">
        <f t="shared" si="129"/>
        <v>0</v>
      </c>
    </row>
    <row r="257" spans="1:26" hidden="1" outlineLevel="1" x14ac:dyDescent="0.25">
      <c r="A257" s="18"/>
      <c r="B257" s="38">
        <f t="shared" si="153"/>
        <v>15</v>
      </c>
      <c r="C257" s="54">
        <f t="shared" si="146"/>
        <v>114.4138235416744</v>
      </c>
      <c r="D257" s="33">
        <f>C257*VLOOKUP($A$243,Ταρίφες!$A$6:$G$23,$K$6,FALSE)*(1+$F$3)^(B257-1)</f>
        <v>50342.082358336738</v>
      </c>
      <c r="E257" s="33">
        <f>C257*VLOOKUP($A$243,Ταρίφες!$A$6:$G$23,$K$7,FALSE)*(1+$F$3)^(B257-1)</f>
        <v>33180.008827085578</v>
      </c>
      <c r="F257" s="46">
        <f t="shared" si="142"/>
        <v>-2638.9575261257442</v>
      </c>
      <c r="G257" s="47">
        <f t="shared" si="143"/>
        <v>-1055.5830104502977</v>
      </c>
      <c r="H257" s="47">
        <f t="shared" si="144"/>
        <v>-3694.5405365760421</v>
      </c>
      <c r="I257" s="46">
        <f t="shared" si="145"/>
        <v>-5937.6544337829246</v>
      </c>
      <c r="J257" s="47">
        <f t="shared" si="147"/>
        <v>-6830</v>
      </c>
      <c r="K257" s="47">
        <f t="shared" si="148"/>
        <v>-7848.1901813644499</v>
      </c>
      <c r="L257" s="47">
        <f t="shared" si="149"/>
        <v>-3386.0510632391479</v>
      </c>
      <c r="M257" s="47">
        <f t="shared" si="150"/>
        <v>29167.156670037279</v>
      </c>
      <c r="N257" s="47">
        <f t="shared" si="151"/>
        <v>16467.22225691142</v>
      </c>
      <c r="O257" s="34"/>
      <c r="P257" s="36">
        <f t="shared" si="126"/>
        <v>0</v>
      </c>
      <c r="Q257" s="35"/>
      <c r="R257" s="33"/>
      <c r="S257" s="43"/>
      <c r="T257" s="19"/>
      <c r="U257" s="27">
        <f t="shared" si="152"/>
        <v>29167.156670037279</v>
      </c>
      <c r="V257" s="28">
        <f t="shared" si="152"/>
        <v>16467.22225691142</v>
      </c>
      <c r="W257" s="43"/>
      <c r="X257" s="19"/>
      <c r="Y257" s="42">
        <f t="shared" si="129"/>
        <v>0</v>
      </c>
      <c r="Z257" s="42">
        <f t="shared" si="129"/>
        <v>0</v>
      </c>
    </row>
    <row r="258" spans="1:26" hidden="1" outlineLevel="1" x14ac:dyDescent="0.25">
      <c r="A258" s="18"/>
      <c r="B258" s="38">
        <f t="shared" si="153"/>
        <v>16</v>
      </c>
      <c r="C258" s="54">
        <f t="shared" si="146"/>
        <v>113.26968530625766</v>
      </c>
      <c r="D258" s="33">
        <f>C258*VLOOKUP($A$243,Ταρίφες!$A$6:$G$23,$K$6,FALSE)*(1+$F$3)^(B258-1)</f>
        <v>49838.661534753366</v>
      </c>
      <c r="E258" s="33">
        <f>C258*VLOOKUP($A$243,Ταρίφες!$A$6:$G$23,$K$7,FALSE)*(1+$F$3)^(B258-1)</f>
        <v>32848.208738814719</v>
      </c>
      <c r="F258" s="46">
        <f t="shared" si="142"/>
        <v>-2691.7366766482583</v>
      </c>
      <c r="G258" s="47">
        <f t="shared" si="143"/>
        <v>-1076.6946706593035</v>
      </c>
      <c r="H258" s="47">
        <f t="shared" si="144"/>
        <v>-3768.4313473075617</v>
      </c>
      <c r="I258" s="46">
        <f t="shared" si="145"/>
        <v>-6056.4075224585813</v>
      </c>
      <c r="J258" s="47">
        <f t="shared" si="147"/>
        <v>-6830</v>
      </c>
      <c r="K258" s="47">
        <f t="shared" si="148"/>
        <v>-7648.0017425967126</v>
      </c>
      <c r="L258" s="47">
        <f t="shared" si="149"/>
        <v>-3230.4840156526643</v>
      </c>
      <c r="M258" s="47">
        <f t="shared" si="150"/>
        <v>28597.389575082951</v>
      </c>
      <c r="N258" s="47">
        <f t="shared" si="151"/>
        <v>16024.454506088352</v>
      </c>
      <c r="O258" s="34"/>
      <c r="P258" s="36">
        <f t="shared" si="126"/>
        <v>0</v>
      </c>
      <c r="Q258" s="35"/>
      <c r="R258" s="33"/>
      <c r="S258" s="43"/>
      <c r="T258" s="19"/>
      <c r="U258" s="27">
        <f t="shared" si="152"/>
        <v>28597.389575082951</v>
      </c>
      <c r="V258" s="28">
        <f t="shared" si="152"/>
        <v>16024.454506088352</v>
      </c>
      <c r="W258" s="43"/>
      <c r="X258" s="19"/>
      <c r="Y258" s="42">
        <f t="shared" si="129"/>
        <v>0</v>
      </c>
      <c r="Z258" s="42">
        <f t="shared" si="129"/>
        <v>0</v>
      </c>
    </row>
    <row r="259" spans="1:26" hidden="1" outlineLevel="1" x14ac:dyDescent="0.25">
      <c r="A259" s="18"/>
      <c r="B259" s="38">
        <f t="shared" si="153"/>
        <v>17</v>
      </c>
      <c r="C259" s="54">
        <f t="shared" si="146"/>
        <v>112.13698845319507</v>
      </c>
      <c r="D259" s="33">
        <f>C259*VLOOKUP($A$243,Ταρίφες!$A$6:$G$23,$K$6,FALSE)*(1+$F$3)^(B259-1)</f>
        <v>49340.274919405834</v>
      </c>
      <c r="E259" s="33">
        <f>C259*VLOOKUP($A$243,Ταρίφες!$A$6:$G$23,$K$7,FALSE)*(1+$F$3)^(B259-1)</f>
        <v>32519.726651426572</v>
      </c>
      <c r="F259" s="46">
        <f t="shared" si="142"/>
        <v>-2745.5714101812241</v>
      </c>
      <c r="G259" s="47">
        <f t="shared" si="143"/>
        <v>-1098.2285640724897</v>
      </c>
      <c r="H259" s="47">
        <f t="shared" si="144"/>
        <v>-3843.7999742537136</v>
      </c>
      <c r="I259" s="46">
        <f t="shared" si="145"/>
        <v>-6177.5356729077539</v>
      </c>
      <c r="J259" s="47">
        <f t="shared" si="147"/>
        <v>-6830</v>
      </c>
      <c r="K259" s="47">
        <f t="shared" si="148"/>
        <v>-7447.7362174775699</v>
      </c>
      <c r="L259" s="47">
        <f t="shared" si="149"/>
        <v>-3074.3936678029613</v>
      </c>
      <c r="M259" s="47">
        <f t="shared" si="150"/>
        <v>28027.403080513082</v>
      </c>
      <c r="N259" s="47">
        <f t="shared" si="151"/>
        <v>15580.19736220843</v>
      </c>
      <c r="O259" s="34"/>
      <c r="P259" s="36">
        <f t="shared" si="126"/>
        <v>0</v>
      </c>
      <c r="Q259" s="35"/>
      <c r="R259" s="33"/>
      <c r="S259" s="43"/>
      <c r="T259" s="19"/>
      <c r="U259" s="27">
        <f t="shared" si="152"/>
        <v>28027.403080513082</v>
      </c>
      <c r="V259" s="28">
        <f t="shared" si="152"/>
        <v>15580.19736220843</v>
      </c>
      <c r="W259" s="43"/>
      <c r="X259" s="19"/>
      <c r="Y259" s="42">
        <f t="shared" si="129"/>
        <v>0</v>
      </c>
      <c r="Z259" s="42">
        <f t="shared" si="129"/>
        <v>0</v>
      </c>
    </row>
    <row r="260" spans="1:26" hidden="1" outlineLevel="1" x14ac:dyDescent="0.25">
      <c r="A260" s="18"/>
      <c r="B260" s="38">
        <f t="shared" si="153"/>
        <v>18</v>
      </c>
      <c r="C260" s="54">
        <f t="shared" si="146"/>
        <v>111.01561856866311</v>
      </c>
      <c r="D260" s="33">
        <f>C260*VLOOKUP($A$243,Ταρίφες!$A$6:$G$23,$K$6,FALSE)*(1+$F$3)^(B260-1)</f>
        <v>48846.872170211769</v>
      </c>
      <c r="E260" s="33">
        <f>C260*VLOOKUP($A$243,Ταρίφες!$A$6:$G$23,$K$7,FALSE)*(1+$F$3)^(B260-1)</f>
        <v>32194.529384912305</v>
      </c>
      <c r="F260" s="46">
        <f t="shared" si="142"/>
        <v>-2800.4828383848489</v>
      </c>
      <c r="G260" s="47">
        <f t="shared" si="143"/>
        <v>-1120.1931353539396</v>
      </c>
      <c r="H260" s="47">
        <f t="shared" si="144"/>
        <v>-3920.6759737387883</v>
      </c>
      <c r="I260" s="46">
        <f t="shared" si="145"/>
        <v>-6301.0863863659097</v>
      </c>
      <c r="J260" s="47">
        <f t="shared" si="147"/>
        <v>-6830</v>
      </c>
      <c r="K260" s="47">
        <f t="shared" si="148"/>
        <v>-7247.3527974557537</v>
      </c>
      <c r="L260" s="47">
        <f t="shared" si="149"/>
        <v>-2917.7436732778929</v>
      </c>
      <c r="M260" s="47">
        <f t="shared" si="150"/>
        <v>27457.081038912529</v>
      </c>
      <c r="N260" s="47">
        <f t="shared" si="151"/>
        <v>15134.347377790926</v>
      </c>
      <c r="O260" s="34"/>
      <c r="P260" s="36">
        <f t="shared" si="126"/>
        <v>0</v>
      </c>
      <c r="Q260" s="35"/>
      <c r="R260" s="33"/>
      <c r="S260" s="43"/>
      <c r="T260" s="19"/>
      <c r="U260" s="27">
        <f t="shared" si="152"/>
        <v>27457.081038912529</v>
      </c>
      <c r="V260" s="28">
        <f t="shared" si="152"/>
        <v>15134.347377790926</v>
      </c>
      <c r="W260" s="43"/>
      <c r="X260" s="19"/>
      <c r="Y260" s="42">
        <f t="shared" si="129"/>
        <v>0</v>
      </c>
      <c r="Z260" s="42">
        <f t="shared" si="129"/>
        <v>0</v>
      </c>
    </row>
    <row r="261" spans="1:26" hidden="1" outlineLevel="1" x14ac:dyDescent="0.25">
      <c r="A261" s="18"/>
      <c r="B261" s="38">
        <f t="shared" si="153"/>
        <v>19</v>
      </c>
      <c r="C261" s="54">
        <f t="shared" si="146"/>
        <v>109.90546238297648</v>
      </c>
      <c r="D261" s="33">
        <f>C261*VLOOKUP($A$243,Ταρίφες!$A$6:$G$23,$K$6,FALSE)*(1+$F$3)^(B261-1)</f>
        <v>48358.403448509649</v>
      </c>
      <c r="E261" s="33">
        <f>C261*VLOOKUP($A$243,Ταρίφες!$A$6:$G$23,$K$7,FALSE)*(1+$F$3)^(B261-1)</f>
        <v>31872.584091063178</v>
      </c>
      <c r="F261" s="46">
        <f t="shared" si="142"/>
        <v>-2856.4924951525454</v>
      </c>
      <c r="G261" s="47">
        <f t="shared" si="143"/>
        <v>-1142.5969980610182</v>
      </c>
      <c r="H261" s="47">
        <f t="shared" si="144"/>
        <v>-3999.0894932135634</v>
      </c>
      <c r="I261" s="46">
        <f t="shared" si="145"/>
        <v>-6427.1081140932274</v>
      </c>
      <c r="J261" s="47">
        <f t="shared" si="147"/>
        <v>-6830</v>
      </c>
      <c r="K261" s="47">
        <f t="shared" si="148"/>
        <v>-7046.8102504772169</v>
      </c>
      <c r="L261" s="47">
        <f t="shared" si="149"/>
        <v>-2760.4972175411335</v>
      </c>
      <c r="M261" s="47">
        <f t="shared" si="150"/>
        <v>26886.306097512075</v>
      </c>
      <c r="N261" s="47">
        <f t="shared" si="151"/>
        <v>14686.799773001692</v>
      </c>
      <c r="O261" s="34"/>
      <c r="P261" s="36">
        <f t="shared" si="126"/>
        <v>0</v>
      </c>
      <c r="Q261" s="35"/>
      <c r="R261" s="33"/>
      <c r="S261" s="43"/>
      <c r="T261" s="19"/>
      <c r="U261" s="27">
        <f t="shared" si="152"/>
        <v>26886.306097512075</v>
      </c>
      <c r="V261" s="28">
        <f t="shared" si="152"/>
        <v>14686.799773001692</v>
      </c>
      <c r="W261" s="43"/>
      <c r="X261" s="19"/>
      <c r="Y261" s="42">
        <f t="shared" si="129"/>
        <v>0</v>
      </c>
      <c r="Z261" s="42">
        <f t="shared" si="129"/>
        <v>0</v>
      </c>
    </row>
    <row r="262" spans="1:26" hidden="1" outlineLevel="1" x14ac:dyDescent="0.25">
      <c r="A262" s="18"/>
      <c r="B262" s="38">
        <f>B261+1</f>
        <v>20</v>
      </c>
      <c r="C262" s="54">
        <f>C261*(1-$F$2)</f>
        <v>108.80640775914671</v>
      </c>
      <c r="D262" s="33">
        <f>C262*VLOOKUP($A$243,Ταρίφες!$A$6:$G$23,$K$6,FALSE)*(1+$F$3)^(B262-1)</f>
        <v>47874.819414024554</v>
      </c>
      <c r="E262" s="33">
        <f>C262*VLOOKUP($A$243,Ταρίφες!$A$6:$G$23,$K$7,FALSE)*(1+$F$3)^(B262-1)</f>
        <v>31553.858250152545</v>
      </c>
      <c r="F262" s="46">
        <f t="shared" si="142"/>
        <v>-2913.6223450555963</v>
      </c>
      <c r="G262" s="47">
        <f t="shared" si="143"/>
        <v>-1165.4489380222385</v>
      </c>
      <c r="H262" s="47">
        <f>-$K$4*(1+$F$4)^(B262-$B$12)</f>
        <v>-4079.0712830778348</v>
      </c>
      <c r="I262" s="46">
        <f>-(4500*(1+$F$4)^(B262-$B$12))</f>
        <v>-6555.6502763750914</v>
      </c>
      <c r="J262" s="47">
        <f t="shared" si="147"/>
        <v>-6830</v>
      </c>
      <c r="K262" s="47">
        <f>-(D262+SUM(F262:J262))*$F$5</f>
        <v>-6846.0669085883865</v>
      </c>
      <c r="L262" s="47">
        <f>-(E262+SUM(F262:J262))*$F$5</f>
        <v>-2602.6170059816636</v>
      </c>
      <c r="M262" s="47">
        <f>D262+SUM(F262:I262)+K262</f>
        <v>26314.959662905407</v>
      </c>
      <c r="N262" s="47">
        <f>E262+SUM(F262:I262)+L262</f>
        <v>14237.44840164012</v>
      </c>
      <c r="O262" s="34"/>
      <c r="P262" s="36">
        <f t="shared" si="126"/>
        <v>0</v>
      </c>
      <c r="Q262" s="35"/>
      <c r="R262" s="33"/>
      <c r="S262" s="43"/>
      <c r="T262" s="19"/>
      <c r="U262" s="27">
        <f>M262</f>
        <v>26314.959662905407</v>
      </c>
      <c r="V262" s="28">
        <f>N262</f>
        <v>14237.44840164012</v>
      </c>
      <c r="W262" s="43"/>
      <c r="X262" s="19"/>
      <c r="Y262" s="42">
        <f t="shared" si="129"/>
        <v>0</v>
      </c>
      <c r="Z262" s="42">
        <f t="shared" si="129"/>
        <v>0</v>
      </c>
    </row>
    <row r="263" spans="1:26" s="40" customFormat="1" hidden="1" outlineLevel="1" x14ac:dyDescent="0.25">
      <c r="O263" s="17"/>
      <c r="P263" s="36">
        <f t="shared" si="126"/>
        <v>0</v>
      </c>
      <c r="Q263" s="25"/>
      <c r="R263" s="22"/>
      <c r="S263" s="52"/>
      <c r="T263" s="44"/>
      <c r="U263" s="74">
        <f>O264</f>
        <v>-150850</v>
      </c>
      <c r="V263" s="74">
        <f>R264</f>
        <v>-105555.45987796035</v>
      </c>
      <c r="W263" s="52"/>
      <c r="X263" s="44"/>
      <c r="Y263" s="42">
        <f t="shared" si="129"/>
        <v>0</v>
      </c>
      <c r="Z263" s="42">
        <f t="shared" si="129"/>
        <v>0</v>
      </c>
    </row>
    <row r="264" spans="1:26" collapsed="1" x14ac:dyDescent="0.25">
      <c r="A264" s="32" t="str">
        <f>Ταρίφες!A22</f>
        <v>Α Τριμ. 2013</v>
      </c>
      <c r="B264" s="38">
        <f>1</f>
        <v>1</v>
      </c>
      <c r="C264" s="54">
        <f>$F$8*$K$2/1000</f>
        <v>131.69999999999999</v>
      </c>
      <c r="D264" s="33">
        <f>C264*VLOOKUP($A$264,Ταρίφες!$A$6:$G$23,$K$6,FALSE)*(1+$F$3)^(B264-1)</f>
        <v>50045.999999999993</v>
      </c>
      <c r="E264" s="33">
        <f>C264*VLOOKUP($A$264,Ταρίφες!$A$6:$G$23,$K$7,FALSE)*(1+$F$3)^(B264-1)</f>
        <v>35559</v>
      </c>
      <c r="F264" s="46">
        <f t="shared" ref="F264:F283" si="154">-($K$5*(1+$F$4)^(B264-$B$12))</f>
        <v>-2000</v>
      </c>
      <c r="G264" s="47">
        <f t="shared" ref="G264:G283" si="155">-$K$2*10*(1+$F$4)^(B264-$B$12)</f>
        <v>-800</v>
      </c>
      <c r="H264" s="47">
        <f t="shared" ref="H264:H282" si="156">-$K$4*(1+$F$4)^(B264-$B$12)</f>
        <v>-2800</v>
      </c>
      <c r="I264" s="46">
        <f t="shared" ref="I264:I282" si="157">-(4500*(1+$F$4)^(B264-$B$12))</f>
        <v>-4500</v>
      </c>
      <c r="J264" s="47">
        <f>$O$264*4%</f>
        <v>-6034</v>
      </c>
      <c r="K264" s="47">
        <f>-(D264+SUM(F264:J264))*$F$5</f>
        <v>-8817.119999999999</v>
      </c>
      <c r="L264" s="47">
        <f>-(E264+SUM(F264:J264))*$F$5</f>
        <v>-5050.5</v>
      </c>
      <c r="M264" s="47">
        <f>D264+SUM(F264:I264)+K264</f>
        <v>31128.879999999994</v>
      </c>
      <c r="N264" s="47">
        <f>E264+SUM(F264:I264)+L264</f>
        <v>20408.5</v>
      </c>
      <c r="O264" s="35">
        <f>-VLOOKUP(A264,'Κόστος Κατασκευής'!$A$4:$Q$17,$K$8,FALSE)</f>
        <v>-150850</v>
      </c>
      <c r="P264" s="36">
        <f t="shared" si="126"/>
        <v>60340</v>
      </c>
      <c r="Q264" s="36">
        <f>Q243*15/16</f>
        <v>-15045.459877960358</v>
      </c>
      <c r="R264" s="37">
        <f>SUM(O264:Q264)</f>
        <v>-105555.45987796035</v>
      </c>
      <c r="S264" s="42">
        <f>IRR(U263:U283)</f>
        <v>0.18355027469917995</v>
      </c>
      <c r="T264" s="42">
        <f>IRR(V263:V283)</f>
        <v>0.16526948542161479</v>
      </c>
      <c r="U264" s="27">
        <f>M264</f>
        <v>31128.879999999994</v>
      </c>
      <c r="V264" s="28">
        <f>N264</f>
        <v>20408.5</v>
      </c>
      <c r="W264" s="42">
        <f>'IRR ΔΣ Ισχύον'!S264</f>
        <v>0.18118941424560919</v>
      </c>
      <c r="X264" s="42">
        <f>'IRR ΔΣ Ισχύον'!T264</f>
        <v>0.1594610515937116</v>
      </c>
      <c r="Y264" s="42">
        <f t="shared" si="129"/>
        <v>2.3608604535707567E-3</v>
      </c>
      <c r="Z264" s="42">
        <f t="shared" si="129"/>
        <v>5.8084338279031922E-3</v>
      </c>
    </row>
    <row r="265" spans="1:26" hidden="1" outlineLevel="1" x14ac:dyDescent="0.25">
      <c r="A265" s="18"/>
      <c r="B265" s="38">
        <f>B264+1</f>
        <v>2</v>
      </c>
      <c r="C265" s="54">
        <f t="shared" ref="C265:C282" si="158">C264*(1-$F$2)</f>
        <v>130.38299999999998</v>
      </c>
      <c r="D265" s="33">
        <f>C265*VLOOKUP($A$264,Ταρίφες!$A$6:$G$23,$K$6,FALSE)*(1+$F$3)^(B265-1)</f>
        <v>49545.539999999994</v>
      </c>
      <c r="E265" s="33">
        <f>C265*VLOOKUP($A$264,Ταρίφες!$A$6:$G$23,$K$7,FALSE)*(1+$F$3)^(B265-1)</f>
        <v>35203.409999999996</v>
      </c>
      <c r="F265" s="46">
        <f t="shared" si="154"/>
        <v>-2040</v>
      </c>
      <c r="G265" s="47">
        <f t="shared" si="155"/>
        <v>-816</v>
      </c>
      <c r="H265" s="47">
        <f t="shared" si="156"/>
        <v>-2856</v>
      </c>
      <c r="I265" s="46">
        <f t="shared" si="157"/>
        <v>-4590</v>
      </c>
      <c r="J265" s="47">
        <f t="shared" ref="J265:J283" si="159">$O$264*4%</f>
        <v>-6034</v>
      </c>
      <c r="K265" s="47">
        <f t="shared" ref="K265:K282" si="160">-(D265+SUM(F265:J265))*$F$5</f>
        <v>-8634.4803999999986</v>
      </c>
      <c r="L265" s="47">
        <f t="shared" ref="L265:L282" si="161">-(E265+SUM(F265:J265))*$F$5</f>
        <v>-4905.5265999999992</v>
      </c>
      <c r="M265" s="47">
        <f t="shared" ref="M265:M282" si="162">D265+SUM(F265:I265)+K265</f>
        <v>30609.059599999993</v>
      </c>
      <c r="N265" s="47">
        <f t="shared" ref="N265:N282" si="163">E265+SUM(F265:I265)+L265</f>
        <v>19995.883399999999</v>
      </c>
      <c r="O265" s="34"/>
      <c r="P265" s="36">
        <f t="shared" si="126"/>
        <v>0</v>
      </c>
      <c r="Q265" s="35"/>
      <c r="R265" s="33"/>
      <c r="S265" s="43"/>
      <c r="T265" s="19"/>
      <c r="U265" s="27">
        <f t="shared" ref="U265:V282" si="164">M265</f>
        <v>30609.059599999993</v>
      </c>
      <c r="V265" s="28">
        <f t="shared" si="164"/>
        <v>19995.883399999999</v>
      </c>
      <c r="W265" s="43"/>
      <c r="X265" s="19"/>
      <c r="Y265" s="42">
        <f t="shared" si="129"/>
        <v>0</v>
      </c>
      <c r="Z265" s="42">
        <f t="shared" si="129"/>
        <v>0</v>
      </c>
    </row>
    <row r="266" spans="1:26" hidden="1" outlineLevel="1" x14ac:dyDescent="0.25">
      <c r="A266" s="18"/>
      <c r="B266" s="38">
        <f t="shared" ref="B266:B282" si="165">B265+1</f>
        <v>3</v>
      </c>
      <c r="C266" s="54">
        <f t="shared" si="158"/>
        <v>129.07916999999998</v>
      </c>
      <c r="D266" s="33">
        <f>C266*VLOOKUP($A$264,Ταρίφες!$A$6:$G$23,$K$6,FALSE)*(1+$F$3)^(B266-1)</f>
        <v>49050.084599999987</v>
      </c>
      <c r="E266" s="33">
        <f>C266*VLOOKUP($A$264,Ταρίφες!$A$6:$G$23,$K$7,FALSE)*(1+$F$3)^(B266-1)</f>
        <v>34851.375899999992</v>
      </c>
      <c r="F266" s="46">
        <f t="shared" si="154"/>
        <v>-2080.8000000000002</v>
      </c>
      <c r="G266" s="47">
        <f t="shared" si="155"/>
        <v>-832.31999999999994</v>
      </c>
      <c r="H266" s="47">
        <f t="shared" si="156"/>
        <v>-2913.12</v>
      </c>
      <c r="I266" s="46">
        <f t="shared" si="157"/>
        <v>-4681.8</v>
      </c>
      <c r="J266" s="47">
        <f t="shared" si="159"/>
        <v>-6034</v>
      </c>
      <c r="K266" s="47">
        <f t="shared" si="160"/>
        <v>-8452.0915959999966</v>
      </c>
      <c r="L266" s="47">
        <f t="shared" si="161"/>
        <v>-4760.4273339999982</v>
      </c>
      <c r="M266" s="47">
        <f t="shared" si="162"/>
        <v>30089.953003999988</v>
      </c>
      <c r="N266" s="47">
        <f t="shared" si="163"/>
        <v>19582.908565999991</v>
      </c>
      <c r="O266" s="34"/>
      <c r="P266" s="36">
        <f t="shared" ref="P266:P285" si="166">-O266*0.4</f>
        <v>0</v>
      </c>
      <c r="Q266" s="35"/>
      <c r="R266" s="33"/>
      <c r="S266" s="43"/>
      <c r="T266" s="19"/>
      <c r="U266" s="27">
        <f t="shared" si="164"/>
        <v>30089.953003999988</v>
      </c>
      <c r="V266" s="28">
        <f t="shared" si="164"/>
        <v>19582.908565999991</v>
      </c>
      <c r="W266" s="43"/>
      <c r="X266" s="19"/>
      <c r="Y266" s="42">
        <f t="shared" si="129"/>
        <v>0</v>
      </c>
      <c r="Z266" s="42">
        <f t="shared" si="129"/>
        <v>0</v>
      </c>
    </row>
    <row r="267" spans="1:26" hidden="1" outlineLevel="1" x14ac:dyDescent="0.25">
      <c r="A267" s="18"/>
      <c r="B267" s="38">
        <f t="shared" si="165"/>
        <v>4</v>
      </c>
      <c r="C267" s="54">
        <f t="shared" si="158"/>
        <v>127.78837829999998</v>
      </c>
      <c r="D267" s="33">
        <f>C267*VLOOKUP($A$264,Ταρίφες!$A$6:$G$23,$K$6,FALSE)*(1+$F$3)^(B267-1)</f>
        <v>48559.583753999992</v>
      </c>
      <c r="E267" s="33">
        <f>C267*VLOOKUP($A$264,Ταρίφες!$A$6:$G$23,$K$7,FALSE)*(1+$F$3)^(B267-1)</f>
        <v>34502.862140999991</v>
      </c>
      <c r="F267" s="46">
        <f t="shared" si="154"/>
        <v>-2122.4159999999997</v>
      </c>
      <c r="G267" s="47">
        <f t="shared" si="155"/>
        <v>-848.96639999999991</v>
      </c>
      <c r="H267" s="47">
        <f t="shared" si="156"/>
        <v>-2971.3824</v>
      </c>
      <c r="I267" s="46">
        <f t="shared" si="157"/>
        <v>-4775.4359999999997</v>
      </c>
      <c r="J267" s="47">
        <f t="shared" si="159"/>
        <v>-6034</v>
      </c>
      <c r="K267" s="47">
        <f t="shared" si="160"/>
        <v>-8269.9195680399989</v>
      </c>
      <c r="L267" s="47">
        <f t="shared" si="161"/>
        <v>-4615.1719486599977</v>
      </c>
      <c r="M267" s="47">
        <f t="shared" si="162"/>
        <v>29571.463385959993</v>
      </c>
      <c r="N267" s="47">
        <f t="shared" si="163"/>
        <v>19169.489392339994</v>
      </c>
      <c r="O267" s="34"/>
      <c r="P267" s="36">
        <f t="shared" si="166"/>
        <v>0</v>
      </c>
      <c r="Q267" s="35"/>
      <c r="R267" s="33"/>
      <c r="S267" s="43"/>
      <c r="T267" s="19"/>
      <c r="U267" s="27">
        <f t="shared" si="164"/>
        <v>29571.463385959993</v>
      </c>
      <c r="V267" s="28">
        <f t="shared" si="164"/>
        <v>19169.489392339994</v>
      </c>
      <c r="W267" s="43"/>
      <c r="X267" s="19"/>
      <c r="Y267" s="42">
        <f t="shared" si="129"/>
        <v>0</v>
      </c>
      <c r="Z267" s="42">
        <f t="shared" si="129"/>
        <v>0</v>
      </c>
    </row>
    <row r="268" spans="1:26" hidden="1" outlineLevel="1" x14ac:dyDescent="0.25">
      <c r="A268" s="18"/>
      <c r="B268" s="38">
        <f t="shared" si="165"/>
        <v>5</v>
      </c>
      <c r="C268" s="54">
        <f t="shared" si="158"/>
        <v>126.51049451699997</v>
      </c>
      <c r="D268" s="33">
        <f>C268*VLOOKUP($A$264,Ταρίφες!$A$6:$G$23,$K$6,FALSE)*(1+$F$3)^(B268-1)</f>
        <v>48073.987916459992</v>
      </c>
      <c r="E268" s="33">
        <f>C268*VLOOKUP($A$264,Ταρίφες!$A$6:$G$23,$K$7,FALSE)*(1+$F$3)^(B268-1)</f>
        <v>34157.833519589993</v>
      </c>
      <c r="F268" s="46">
        <f t="shared" si="154"/>
        <v>-2164.8643200000001</v>
      </c>
      <c r="G268" s="47">
        <f t="shared" si="155"/>
        <v>-865.94572800000003</v>
      </c>
      <c r="H268" s="47">
        <f t="shared" si="156"/>
        <v>-3030.8100479999998</v>
      </c>
      <c r="I268" s="46">
        <f t="shared" si="157"/>
        <v>-4870.9447199999995</v>
      </c>
      <c r="J268" s="47">
        <f t="shared" si="159"/>
        <v>-6034</v>
      </c>
      <c r="K268" s="47">
        <f t="shared" si="160"/>
        <v>-8087.9300061195981</v>
      </c>
      <c r="L268" s="47">
        <f t="shared" si="161"/>
        <v>-4469.7298629333991</v>
      </c>
      <c r="M268" s="47">
        <f t="shared" si="162"/>
        <v>29053.493094340396</v>
      </c>
      <c r="N268" s="47">
        <f t="shared" si="163"/>
        <v>18755.538840656594</v>
      </c>
      <c r="O268" s="34"/>
      <c r="P268" s="36">
        <f t="shared" si="166"/>
        <v>0</v>
      </c>
      <c r="Q268" s="35"/>
      <c r="R268" s="33"/>
      <c r="S268" s="43"/>
      <c r="T268" s="19"/>
      <c r="U268" s="27">
        <f t="shared" si="164"/>
        <v>29053.493094340396</v>
      </c>
      <c r="V268" s="28">
        <f t="shared" si="164"/>
        <v>18755.538840656594</v>
      </c>
      <c r="W268" s="43"/>
      <c r="X268" s="19"/>
      <c r="Y268" s="42">
        <f t="shared" si="129"/>
        <v>0</v>
      </c>
      <c r="Z268" s="42">
        <f t="shared" si="129"/>
        <v>0</v>
      </c>
    </row>
    <row r="269" spans="1:26" hidden="1" outlineLevel="1" x14ac:dyDescent="0.25">
      <c r="A269" s="18"/>
      <c r="B269" s="38">
        <f t="shared" si="165"/>
        <v>6</v>
      </c>
      <c r="C269" s="54">
        <f t="shared" si="158"/>
        <v>125.24538957182997</v>
      </c>
      <c r="D269" s="33">
        <f>C269*VLOOKUP($A$264,Ταρίφες!$A$6:$G$23,$K$6,FALSE)*(1+$F$3)^(B269-1)</f>
        <v>47593.248037295387</v>
      </c>
      <c r="E269" s="33">
        <f>C269*VLOOKUP($A$264,Ταρίφες!$A$6:$G$23,$K$7,FALSE)*(1+$F$3)^(B269-1)</f>
        <v>33816.255184394096</v>
      </c>
      <c r="F269" s="46">
        <f t="shared" si="154"/>
        <v>-2208.1616064</v>
      </c>
      <c r="G269" s="47">
        <f t="shared" si="155"/>
        <v>-883.26464255999997</v>
      </c>
      <c r="H269" s="47">
        <f t="shared" si="156"/>
        <v>-3091.4262489600001</v>
      </c>
      <c r="I269" s="46">
        <f t="shared" si="157"/>
        <v>-4968.3636144000002</v>
      </c>
      <c r="J269" s="47">
        <f t="shared" si="159"/>
        <v>-6034</v>
      </c>
      <c r="K269" s="47">
        <f t="shared" si="160"/>
        <v>-7906.0883004936013</v>
      </c>
      <c r="L269" s="47">
        <f t="shared" si="161"/>
        <v>-4324.0701587392659</v>
      </c>
      <c r="M269" s="47">
        <f t="shared" si="162"/>
        <v>28535.943624481788</v>
      </c>
      <c r="N269" s="47">
        <f t="shared" si="163"/>
        <v>18340.968913334833</v>
      </c>
      <c r="O269" s="34"/>
      <c r="P269" s="36">
        <f t="shared" si="166"/>
        <v>0</v>
      </c>
      <c r="Q269" s="35"/>
      <c r="R269" s="33"/>
      <c r="S269" s="43"/>
      <c r="T269" s="19"/>
      <c r="U269" s="27">
        <f t="shared" si="164"/>
        <v>28535.943624481788</v>
      </c>
      <c r="V269" s="28">
        <f t="shared" si="164"/>
        <v>18340.968913334833</v>
      </c>
      <c r="W269" s="43"/>
      <c r="X269" s="19"/>
      <c r="Y269" s="42">
        <f t="shared" ref="Y269:Z285" si="167">S269-W269</f>
        <v>0</v>
      </c>
      <c r="Z269" s="42">
        <f t="shared" si="167"/>
        <v>0</v>
      </c>
    </row>
    <row r="270" spans="1:26" hidden="1" outlineLevel="1" x14ac:dyDescent="0.25">
      <c r="A270" s="18"/>
      <c r="B270" s="38">
        <f t="shared" si="165"/>
        <v>7</v>
      </c>
      <c r="C270" s="54">
        <f t="shared" si="158"/>
        <v>123.99293567611167</v>
      </c>
      <c r="D270" s="33">
        <f>C270*VLOOKUP($A$264,Ταρίφες!$A$6:$G$23,$K$6,FALSE)*(1+$F$3)^(B270-1)</f>
        <v>47117.315556922433</v>
      </c>
      <c r="E270" s="33">
        <f>C270*VLOOKUP($A$264,Ταρίφες!$A$6:$G$23,$K$7,FALSE)*(1+$F$3)^(B270-1)</f>
        <v>33478.09263255015</v>
      </c>
      <c r="F270" s="46">
        <f t="shared" si="154"/>
        <v>-2252.3248385280003</v>
      </c>
      <c r="G270" s="47">
        <f t="shared" si="155"/>
        <v>-900.92993541120006</v>
      </c>
      <c r="H270" s="47">
        <f t="shared" si="156"/>
        <v>-3153.2547739392003</v>
      </c>
      <c r="I270" s="46">
        <f t="shared" si="157"/>
        <v>-5067.7308866880003</v>
      </c>
      <c r="J270" s="47">
        <f t="shared" si="159"/>
        <v>-6034</v>
      </c>
      <c r="K270" s="47">
        <f t="shared" si="160"/>
        <v>-7724.359531812569</v>
      </c>
      <c r="L270" s="47">
        <f t="shared" si="161"/>
        <v>-4178.1615714757754</v>
      </c>
      <c r="M270" s="47">
        <f t="shared" si="162"/>
        <v>28018.715590543467</v>
      </c>
      <c r="N270" s="47">
        <f t="shared" si="163"/>
        <v>17925.690626507974</v>
      </c>
      <c r="O270" s="34"/>
      <c r="P270" s="36">
        <f t="shared" si="166"/>
        <v>0</v>
      </c>
      <c r="Q270" s="35"/>
      <c r="R270" s="33"/>
      <c r="S270" s="43"/>
      <c r="T270" s="19"/>
      <c r="U270" s="27">
        <f t="shared" si="164"/>
        <v>28018.715590543467</v>
      </c>
      <c r="V270" s="28">
        <f t="shared" si="164"/>
        <v>17925.690626507974</v>
      </c>
      <c r="W270" s="43"/>
      <c r="X270" s="19"/>
      <c r="Y270" s="42">
        <f t="shared" si="167"/>
        <v>0</v>
      </c>
      <c r="Z270" s="42">
        <f t="shared" si="167"/>
        <v>0</v>
      </c>
    </row>
    <row r="271" spans="1:26" hidden="1" outlineLevel="1" x14ac:dyDescent="0.25">
      <c r="A271" s="18"/>
      <c r="B271" s="38">
        <f t="shared" si="165"/>
        <v>8</v>
      </c>
      <c r="C271" s="54">
        <f t="shared" si="158"/>
        <v>122.75300631935055</v>
      </c>
      <c r="D271" s="33">
        <f>C271*VLOOKUP($A$264,Ταρίφες!$A$6:$G$23,$K$6,FALSE)*(1+$F$3)^(B271-1)</f>
        <v>46646.142401353209</v>
      </c>
      <c r="E271" s="33">
        <f>C271*VLOOKUP($A$264,Ταρίφες!$A$6:$G$23,$K$7,FALSE)*(1+$F$3)^(B271-1)</f>
        <v>33143.311706224646</v>
      </c>
      <c r="F271" s="46">
        <f t="shared" si="154"/>
        <v>-2297.3713352985596</v>
      </c>
      <c r="G271" s="47">
        <f t="shared" si="155"/>
        <v>-918.94853411942381</v>
      </c>
      <c r="H271" s="47">
        <f t="shared" si="156"/>
        <v>-3216.3198694179837</v>
      </c>
      <c r="I271" s="46">
        <f t="shared" si="157"/>
        <v>-5169.0855044217587</v>
      </c>
      <c r="J271" s="47">
        <f t="shared" si="159"/>
        <v>-6034</v>
      </c>
      <c r="K271" s="47">
        <f t="shared" si="160"/>
        <v>-7542.7084611048258</v>
      </c>
      <c r="L271" s="47">
        <f t="shared" si="161"/>
        <v>-4031.9724803713993</v>
      </c>
      <c r="M271" s="47">
        <f t="shared" si="162"/>
        <v>27501.70869699066</v>
      </c>
      <c r="N271" s="47">
        <f t="shared" si="163"/>
        <v>17509.613982595522</v>
      </c>
      <c r="O271" s="34"/>
      <c r="P271" s="36">
        <f t="shared" si="166"/>
        <v>0</v>
      </c>
      <c r="Q271" s="35"/>
      <c r="R271" s="33"/>
      <c r="S271" s="43"/>
      <c r="T271" s="19"/>
      <c r="U271" s="27">
        <f t="shared" si="164"/>
        <v>27501.70869699066</v>
      </c>
      <c r="V271" s="28">
        <f t="shared" si="164"/>
        <v>17509.613982595522</v>
      </c>
      <c r="W271" s="43"/>
      <c r="X271" s="19"/>
      <c r="Y271" s="42">
        <f t="shared" si="167"/>
        <v>0</v>
      </c>
      <c r="Z271" s="42">
        <f t="shared" si="167"/>
        <v>0</v>
      </c>
    </row>
    <row r="272" spans="1:26" hidden="1" outlineLevel="1" x14ac:dyDescent="0.25">
      <c r="A272" s="18"/>
      <c r="B272" s="38">
        <f t="shared" si="165"/>
        <v>9</v>
      </c>
      <c r="C272" s="54">
        <f t="shared" si="158"/>
        <v>121.52547625615703</v>
      </c>
      <c r="D272" s="33">
        <f>C272*VLOOKUP($A$264,Ταρίφες!$A$6:$G$23,$K$6,FALSE)*(1+$F$3)^(B272-1)</f>
        <v>46179.680977339674</v>
      </c>
      <c r="E272" s="33">
        <f>C272*VLOOKUP($A$264,Ταρίφες!$A$6:$G$23,$K$7,FALSE)*(1+$F$3)^(B272-1)</f>
        <v>32811.878589162399</v>
      </c>
      <c r="F272" s="46">
        <f t="shared" si="154"/>
        <v>-2343.318762004531</v>
      </c>
      <c r="G272" s="47">
        <f t="shared" si="155"/>
        <v>-937.32750480181244</v>
      </c>
      <c r="H272" s="47">
        <f t="shared" si="156"/>
        <v>-3280.6462668063436</v>
      </c>
      <c r="I272" s="46">
        <f t="shared" si="157"/>
        <v>-5272.4672145101949</v>
      </c>
      <c r="J272" s="47">
        <f t="shared" si="159"/>
        <v>-6034</v>
      </c>
      <c r="K272" s="47">
        <f t="shared" si="160"/>
        <v>-7361.0995195963669</v>
      </c>
      <c r="L272" s="47">
        <f t="shared" si="161"/>
        <v>-3885.4708986702749</v>
      </c>
      <c r="M272" s="47">
        <f t="shared" si="162"/>
        <v>26984.821709620428</v>
      </c>
      <c r="N272" s="47">
        <f t="shared" si="163"/>
        <v>17092.647942369244</v>
      </c>
      <c r="O272" s="34"/>
      <c r="P272" s="36">
        <f t="shared" si="166"/>
        <v>0</v>
      </c>
      <c r="Q272" s="35"/>
      <c r="R272" s="33"/>
      <c r="S272" s="43"/>
      <c r="T272" s="19"/>
      <c r="U272" s="27">
        <f t="shared" si="164"/>
        <v>26984.821709620428</v>
      </c>
      <c r="V272" s="28">
        <f t="shared" si="164"/>
        <v>17092.647942369244</v>
      </c>
      <c r="W272" s="43"/>
      <c r="X272" s="19"/>
      <c r="Y272" s="42">
        <f t="shared" si="167"/>
        <v>0</v>
      </c>
      <c r="Z272" s="42">
        <f t="shared" si="167"/>
        <v>0</v>
      </c>
    </row>
    <row r="273" spans="1:26" hidden="1" outlineLevel="1" x14ac:dyDescent="0.25">
      <c r="A273" s="18"/>
      <c r="B273" s="38">
        <f t="shared" si="165"/>
        <v>10</v>
      </c>
      <c r="C273" s="54">
        <f t="shared" si="158"/>
        <v>120.31022149359546</v>
      </c>
      <c r="D273" s="33">
        <f>C273*VLOOKUP($A$264,Ταρίφες!$A$6:$G$23,$K$6,FALSE)*(1+$F$3)^(B273-1)</f>
        <v>45717.884167566277</v>
      </c>
      <c r="E273" s="33">
        <f>C273*VLOOKUP($A$264,Ταρίφες!$A$6:$G$23,$K$7,FALSE)*(1+$F$3)^(B273-1)</f>
        <v>32483.759803270776</v>
      </c>
      <c r="F273" s="46">
        <f t="shared" si="154"/>
        <v>-2390.1851372446217</v>
      </c>
      <c r="G273" s="47">
        <f t="shared" si="155"/>
        <v>-956.07405489784867</v>
      </c>
      <c r="H273" s="47">
        <f t="shared" si="156"/>
        <v>-3346.2591921424705</v>
      </c>
      <c r="I273" s="46">
        <f t="shared" si="157"/>
        <v>-5377.9165588003989</v>
      </c>
      <c r="J273" s="47">
        <f t="shared" si="159"/>
        <v>-6034</v>
      </c>
      <c r="K273" s="47">
        <f t="shared" si="160"/>
        <v>-7179.496798365044</v>
      </c>
      <c r="L273" s="47">
        <f t="shared" si="161"/>
        <v>-3738.6244636482134</v>
      </c>
      <c r="M273" s="47">
        <f t="shared" si="162"/>
        <v>26467.952426115895</v>
      </c>
      <c r="N273" s="47">
        <f t="shared" si="163"/>
        <v>16674.700396537221</v>
      </c>
      <c r="O273" s="34"/>
      <c r="P273" s="36">
        <f t="shared" si="166"/>
        <v>0</v>
      </c>
      <c r="Q273" s="35"/>
      <c r="R273" s="33"/>
      <c r="S273" s="43"/>
      <c r="T273" s="19"/>
      <c r="U273" s="27">
        <f t="shared" si="164"/>
        <v>26467.952426115895</v>
      </c>
      <c r="V273" s="28">
        <f t="shared" si="164"/>
        <v>16674.700396537221</v>
      </c>
      <c r="W273" s="43"/>
      <c r="X273" s="19"/>
      <c r="Y273" s="42">
        <f t="shared" si="167"/>
        <v>0</v>
      </c>
      <c r="Z273" s="42">
        <f t="shared" si="167"/>
        <v>0</v>
      </c>
    </row>
    <row r="274" spans="1:26" hidden="1" outlineLevel="1" x14ac:dyDescent="0.25">
      <c r="A274" s="18"/>
      <c r="B274" s="38">
        <f t="shared" si="165"/>
        <v>11</v>
      </c>
      <c r="C274" s="54">
        <f t="shared" si="158"/>
        <v>119.10711927865951</v>
      </c>
      <c r="D274" s="33">
        <f>C274*VLOOKUP($A$264,Ταρίφες!$A$6:$G$23,$K$6,FALSE)*(1+$F$3)^(B274-1)</f>
        <v>45260.705325890616</v>
      </c>
      <c r="E274" s="33">
        <f>C274*VLOOKUP($A$264,Ταρίφες!$A$6:$G$23,$K$7,FALSE)*(1+$F$3)^(B274-1)</f>
        <v>32158.922205238068</v>
      </c>
      <c r="F274" s="46">
        <f t="shared" si="154"/>
        <v>-2437.9888399895144</v>
      </c>
      <c r="G274" s="47">
        <f t="shared" si="155"/>
        <v>-975.1955359958057</v>
      </c>
      <c r="H274" s="47">
        <f t="shared" si="156"/>
        <v>-3413.18437598532</v>
      </c>
      <c r="I274" s="46">
        <f t="shared" si="157"/>
        <v>-5485.4748899764072</v>
      </c>
      <c r="J274" s="47">
        <f t="shared" si="159"/>
        <v>-6034</v>
      </c>
      <c r="K274" s="47">
        <f t="shared" si="160"/>
        <v>-6997.8640378253285</v>
      </c>
      <c r="L274" s="47">
        <f t="shared" si="161"/>
        <v>-3591.4004264556661</v>
      </c>
      <c r="M274" s="47">
        <f t="shared" si="162"/>
        <v>25950.997646118241</v>
      </c>
      <c r="N274" s="47">
        <f t="shared" si="163"/>
        <v>16255.678136835353</v>
      </c>
      <c r="O274" s="34"/>
      <c r="P274" s="36">
        <f t="shared" si="166"/>
        <v>0</v>
      </c>
      <c r="Q274" s="35"/>
      <c r="R274" s="33"/>
      <c r="S274" s="43"/>
      <c r="T274" s="19"/>
      <c r="U274" s="27">
        <f t="shared" si="164"/>
        <v>25950.997646118241</v>
      </c>
      <c r="V274" s="28">
        <f t="shared" si="164"/>
        <v>16255.678136835353</v>
      </c>
      <c r="W274" s="43"/>
      <c r="X274" s="19"/>
      <c r="Y274" s="42">
        <f t="shared" si="167"/>
        <v>0</v>
      </c>
      <c r="Z274" s="42">
        <f t="shared" si="167"/>
        <v>0</v>
      </c>
    </row>
    <row r="275" spans="1:26" hidden="1" outlineLevel="1" x14ac:dyDescent="0.25">
      <c r="A275" s="18"/>
      <c r="B275" s="38">
        <f t="shared" si="165"/>
        <v>12</v>
      </c>
      <c r="C275" s="54">
        <f t="shared" si="158"/>
        <v>117.91604808587292</v>
      </c>
      <c r="D275" s="33">
        <f>C275*VLOOKUP($A$264,Ταρίφες!$A$6:$G$23,$K$6,FALSE)*(1+$F$3)^(B275-1)</f>
        <v>44808.098272631709</v>
      </c>
      <c r="E275" s="33">
        <f>C275*VLOOKUP($A$264,Ταρίφες!$A$6:$G$23,$K$7,FALSE)*(1+$F$3)^(B275-1)</f>
        <v>31837.332983185686</v>
      </c>
      <c r="F275" s="46">
        <f t="shared" si="154"/>
        <v>-2486.7486167893039</v>
      </c>
      <c r="G275" s="47">
        <f t="shared" si="155"/>
        <v>-994.69944671572159</v>
      </c>
      <c r="H275" s="47">
        <f t="shared" si="156"/>
        <v>-3481.4480635050259</v>
      </c>
      <c r="I275" s="46">
        <f t="shared" si="157"/>
        <v>-5595.1843877759338</v>
      </c>
      <c r="J275" s="47">
        <f t="shared" si="159"/>
        <v>-6034</v>
      </c>
      <c r="K275" s="47">
        <f t="shared" si="160"/>
        <v>-6816.1646170398881</v>
      </c>
      <c r="L275" s="47">
        <f t="shared" si="161"/>
        <v>-3443.7656417839221</v>
      </c>
      <c r="M275" s="47">
        <f t="shared" si="162"/>
        <v>25433.853140805833</v>
      </c>
      <c r="N275" s="47">
        <f t="shared" si="163"/>
        <v>15835.486826615777</v>
      </c>
      <c r="O275" s="34"/>
      <c r="P275" s="36">
        <f t="shared" si="166"/>
        <v>0</v>
      </c>
      <c r="Q275" s="35"/>
      <c r="R275" s="33"/>
      <c r="S275" s="43"/>
      <c r="T275" s="19"/>
      <c r="U275" s="27">
        <f t="shared" si="164"/>
        <v>25433.853140805833</v>
      </c>
      <c r="V275" s="28">
        <f t="shared" si="164"/>
        <v>15835.486826615777</v>
      </c>
      <c r="W275" s="43"/>
      <c r="X275" s="19"/>
      <c r="Y275" s="42">
        <f t="shared" si="167"/>
        <v>0</v>
      </c>
      <c r="Z275" s="42">
        <f t="shared" si="167"/>
        <v>0</v>
      </c>
    </row>
    <row r="276" spans="1:26" hidden="1" outlineLevel="1" x14ac:dyDescent="0.25">
      <c r="A276" s="18"/>
      <c r="B276" s="38">
        <f t="shared" si="165"/>
        <v>13</v>
      </c>
      <c r="C276" s="54">
        <f t="shared" si="158"/>
        <v>116.73688760501419</v>
      </c>
      <c r="D276" s="33">
        <f>C276*VLOOKUP($A$264,Ταρίφες!$A$6:$G$23,$K$6,FALSE)*(1+$F$3)^(B276-1)</f>
        <v>44360.017289905394</v>
      </c>
      <c r="E276" s="33">
        <f>C276*VLOOKUP($A$264,Ταρίφες!$A$6:$G$23,$K$7,FALSE)*(1+$F$3)^(B276-1)</f>
        <v>31518.959653353832</v>
      </c>
      <c r="F276" s="46">
        <f t="shared" si="154"/>
        <v>-2536.4835891250905</v>
      </c>
      <c r="G276" s="47">
        <f t="shared" si="155"/>
        <v>-1014.5934356500362</v>
      </c>
      <c r="H276" s="47">
        <f t="shared" si="156"/>
        <v>-3551.0770247751266</v>
      </c>
      <c r="I276" s="46">
        <f t="shared" si="157"/>
        <v>-5707.0880755314538</v>
      </c>
      <c r="J276" s="47">
        <f t="shared" si="159"/>
        <v>-6034</v>
      </c>
      <c r="K276" s="47">
        <f t="shared" si="160"/>
        <v>-6634.3615428541589</v>
      </c>
      <c r="L276" s="47">
        <f t="shared" si="161"/>
        <v>-3295.6865573507525</v>
      </c>
      <c r="M276" s="47">
        <f t="shared" si="162"/>
        <v>24916.413621969528</v>
      </c>
      <c r="N276" s="47">
        <f t="shared" si="163"/>
        <v>15414.030970921373</v>
      </c>
      <c r="O276" s="34"/>
      <c r="P276" s="36">
        <f t="shared" si="166"/>
        <v>0</v>
      </c>
      <c r="Q276" s="35"/>
      <c r="R276" s="33"/>
      <c r="S276" s="43"/>
      <c r="T276" s="19"/>
      <c r="U276" s="27">
        <f t="shared" si="164"/>
        <v>24916.413621969528</v>
      </c>
      <c r="V276" s="28">
        <f t="shared" si="164"/>
        <v>15414.030970921373</v>
      </c>
      <c r="W276" s="43"/>
      <c r="X276" s="19"/>
      <c r="Y276" s="42">
        <f t="shared" si="167"/>
        <v>0</v>
      </c>
      <c r="Z276" s="42">
        <f t="shared" si="167"/>
        <v>0</v>
      </c>
    </row>
    <row r="277" spans="1:26" hidden="1" outlineLevel="1" x14ac:dyDescent="0.25">
      <c r="A277" s="18"/>
      <c r="B277" s="38">
        <f t="shared" si="165"/>
        <v>14</v>
      </c>
      <c r="C277" s="54">
        <f t="shared" si="158"/>
        <v>115.56951872896404</v>
      </c>
      <c r="D277" s="33">
        <f>C277*VLOOKUP($A$264,Ταρίφες!$A$6:$G$23,$K$6,FALSE)*(1+$F$3)^(B277-1)</f>
        <v>43916.417117006335</v>
      </c>
      <c r="E277" s="33">
        <f>C277*VLOOKUP($A$264,Ταρίφες!$A$6:$G$23,$K$7,FALSE)*(1+$F$3)^(B277-1)</f>
        <v>31203.770056820293</v>
      </c>
      <c r="F277" s="46">
        <f t="shared" si="154"/>
        <v>-2587.213260907592</v>
      </c>
      <c r="G277" s="47">
        <f t="shared" si="155"/>
        <v>-1034.8853043630368</v>
      </c>
      <c r="H277" s="47">
        <f t="shared" si="156"/>
        <v>-3622.098565270629</v>
      </c>
      <c r="I277" s="46">
        <f t="shared" si="157"/>
        <v>-5821.2298370420822</v>
      </c>
      <c r="J277" s="47">
        <f t="shared" si="159"/>
        <v>-6034</v>
      </c>
      <c r="K277" s="47">
        <f t="shared" si="160"/>
        <v>-6452.4174388499796</v>
      </c>
      <c r="L277" s="47">
        <f t="shared" si="161"/>
        <v>-3147.1292032016081</v>
      </c>
      <c r="M277" s="47">
        <f t="shared" si="162"/>
        <v>24398.572710573018</v>
      </c>
      <c r="N277" s="47">
        <f t="shared" si="163"/>
        <v>14991.213886035346</v>
      </c>
      <c r="O277" s="34"/>
      <c r="P277" s="36">
        <f t="shared" si="166"/>
        <v>0</v>
      </c>
      <c r="Q277" s="35"/>
      <c r="R277" s="33"/>
      <c r="S277" s="43"/>
      <c r="T277" s="19"/>
      <c r="U277" s="27">
        <f t="shared" si="164"/>
        <v>24398.572710573018</v>
      </c>
      <c r="V277" s="28">
        <f t="shared" si="164"/>
        <v>14991.213886035346</v>
      </c>
      <c r="W277" s="43"/>
      <c r="X277" s="19"/>
      <c r="Y277" s="42">
        <f t="shared" si="167"/>
        <v>0</v>
      </c>
      <c r="Z277" s="42">
        <f t="shared" si="167"/>
        <v>0</v>
      </c>
    </row>
    <row r="278" spans="1:26" hidden="1" outlineLevel="1" x14ac:dyDescent="0.25">
      <c r="A278" s="18"/>
      <c r="B278" s="38">
        <f t="shared" si="165"/>
        <v>15</v>
      </c>
      <c r="C278" s="54">
        <f t="shared" si="158"/>
        <v>114.4138235416744</v>
      </c>
      <c r="D278" s="33">
        <f>C278*VLOOKUP($A$264,Ταρίφες!$A$6:$G$23,$K$6,FALSE)*(1+$F$3)^(B278-1)</f>
        <v>43477.252945836277</v>
      </c>
      <c r="E278" s="33">
        <f>C278*VLOOKUP($A$264,Ταρίφες!$A$6:$G$23,$K$7,FALSE)*(1+$F$3)^(B278-1)</f>
        <v>30891.732356252091</v>
      </c>
      <c r="F278" s="46">
        <f t="shared" si="154"/>
        <v>-2638.9575261257442</v>
      </c>
      <c r="G278" s="47">
        <f t="shared" si="155"/>
        <v>-1055.5830104502977</v>
      </c>
      <c r="H278" s="47">
        <f t="shared" si="156"/>
        <v>-3694.5405365760421</v>
      </c>
      <c r="I278" s="46">
        <f t="shared" si="157"/>
        <v>-5937.6544337829246</v>
      </c>
      <c r="J278" s="47">
        <f t="shared" si="159"/>
        <v>-6034</v>
      </c>
      <c r="K278" s="47">
        <f t="shared" si="160"/>
        <v>-6270.2945341143295</v>
      </c>
      <c r="L278" s="47">
        <f t="shared" si="161"/>
        <v>-2998.0591808224412</v>
      </c>
      <c r="M278" s="47">
        <f t="shared" si="162"/>
        <v>23880.22290478694</v>
      </c>
      <c r="N278" s="47">
        <f t="shared" si="163"/>
        <v>14566.93766849464</v>
      </c>
      <c r="O278" s="34"/>
      <c r="P278" s="36">
        <f t="shared" si="166"/>
        <v>0</v>
      </c>
      <c r="Q278" s="35"/>
      <c r="R278" s="33"/>
      <c r="S278" s="43"/>
      <c r="T278" s="19"/>
      <c r="U278" s="27">
        <f t="shared" si="164"/>
        <v>23880.22290478694</v>
      </c>
      <c r="V278" s="28">
        <f t="shared" si="164"/>
        <v>14566.93766849464</v>
      </c>
      <c r="W278" s="43"/>
      <c r="X278" s="19"/>
      <c r="Y278" s="42">
        <f t="shared" si="167"/>
        <v>0</v>
      </c>
      <c r="Z278" s="42">
        <f t="shared" si="167"/>
        <v>0</v>
      </c>
    </row>
    <row r="279" spans="1:26" hidden="1" outlineLevel="1" x14ac:dyDescent="0.25">
      <c r="A279" s="18"/>
      <c r="B279" s="38">
        <f t="shared" si="165"/>
        <v>16</v>
      </c>
      <c r="C279" s="54">
        <f t="shared" si="158"/>
        <v>113.26968530625766</v>
      </c>
      <c r="D279" s="33">
        <f>C279*VLOOKUP($A$264,Ταρίφες!$A$6:$G$23,$K$6,FALSE)*(1+$F$3)^(B279-1)</f>
        <v>43042.480416377912</v>
      </c>
      <c r="E279" s="33">
        <f>C279*VLOOKUP($A$264,Ταρίφες!$A$6:$G$23,$K$7,FALSE)*(1+$F$3)^(B279-1)</f>
        <v>30582.815032689567</v>
      </c>
      <c r="F279" s="46">
        <f t="shared" si="154"/>
        <v>-2691.7366766482583</v>
      </c>
      <c r="G279" s="47">
        <f t="shared" si="155"/>
        <v>-1076.6946706593035</v>
      </c>
      <c r="H279" s="47">
        <f t="shared" si="156"/>
        <v>-3768.4313473075617</v>
      </c>
      <c r="I279" s="46">
        <f t="shared" si="157"/>
        <v>-6056.4075224585813</v>
      </c>
      <c r="J279" s="47">
        <f t="shared" si="159"/>
        <v>-6034</v>
      </c>
      <c r="K279" s="47">
        <f t="shared" si="160"/>
        <v>-6087.9546518190946</v>
      </c>
      <c r="L279" s="47">
        <f t="shared" si="161"/>
        <v>-2848.4416520601249</v>
      </c>
      <c r="M279" s="47">
        <f t="shared" si="162"/>
        <v>23361.255547485114</v>
      </c>
      <c r="N279" s="47">
        <f t="shared" si="163"/>
        <v>14141.103163555736</v>
      </c>
      <c r="O279" s="34"/>
      <c r="P279" s="36">
        <f t="shared" si="166"/>
        <v>0</v>
      </c>
      <c r="Q279" s="35"/>
      <c r="R279" s="33"/>
      <c r="S279" s="43"/>
      <c r="T279" s="19"/>
      <c r="U279" s="27">
        <f t="shared" si="164"/>
        <v>23361.255547485114</v>
      </c>
      <c r="V279" s="28">
        <f t="shared" si="164"/>
        <v>14141.103163555736</v>
      </c>
      <c r="W279" s="43"/>
      <c r="X279" s="19"/>
      <c r="Y279" s="42">
        <f t="shared" si="167"/>
        <v>0</v>
      </c>
      <c r="Z279" s="42">
        <f t="shared" si="167"/>
        <v>0</v>
      </c>
    </row>
    <row r="280" spans="1:26" hidden="1" outlineLevel="1" x14ac:dyDescent="0.25">
      <c r="A280" s="18"/>
      <c r="B280" s="38">
        <f t="shared" si="165"/>
        <v>17</v>
      </c>
      <c r="C280" s="54">
        <f t="shared" si="158"/>
        <v>112.13698845319507</v>
      </c>
      <c r="D280" s="33">
        <f>C280*VLOOKUP($A$264,Ταρίφες!$A$6:$G$23,$K$6,FALSE)*(1+$F$3)^(B280-1)</f>
        <v>42612.055612214128</v>
      </c>
      <c r="E280" s="33">
        <f>C280*VLOOKUP($A$264,Ταρίφες!$A$6:$G$23,$K$7,FALSE)*(1+$F$3)^(B280-1)</f>
        <v>30276.986882362671</v>
      </c>
      <c r="F280" s="46">
        <f t="shared" si="154"/>
        <v>-2745.5714101812241</v>
      </c>
      <c r="G280" s="47">
        <f t="shared" si="155"/>
        <v>-1098.2285640724897</v>
      </c>
      <c r="H280" s="47">
        <f t="shared" si="156"/>
        <v>-3843.7999742537136</v>
      </c>
      <c r="I280" s="46">
        <f t="shared" si="157"/>
        <v>-6177.5356729077539</v>
      </c>
      <c r="J280" s="47">
        <f t="shared" si="159"/>
        <v>-6034</v>
      </c>
      <c r="K280" s="47">
        <f t="shared" si="160"/>
        <v>-5905.3591976077259</v>
      </c>
      <c r="L280" s="47">
        <f t="shared" si="161"/>
        <v>-2698.2413278463473</v>
      </c>
      <c r="M280" s="47">
        <f t="shared" si="162"/>
        <v>22841.56079319122</v>
      </c>
      <c r="N280" s="47">
        <f t="shared" si="163"/>
        <v>13713.609933101143</v>
      </c>
      <c r="O280" s="34"/>
      <c r="P280" s="36">
        <f t="shared" si="166"/>
        <v>0</v>
      </c>
      <c r="Q280" s="35"/>
      <c r="R280" s="33"/>
      <c r="S280" s="43"/>
      <c r="T280" s="19"/>
      <c r="U280" s="27">
        <f t="shared" si="164"/>
        <v>22841.56079319122</v>
      </c>
      <c r="V280" s="28">
        <f t="shared" si="164"/>
        <v>13713.609933101143</v>
      </c>
      <c r="W280" s="43"/>
      <c r="X280" s="19"/>
      <c r="Y280" s="42">
        <f t="shared" si="167"/>
        <v>0</v>
      </c>
      <c r="Z280" s="42">
        <f t="shared" si="167"/>
        <v>0</v>
      </c>
    </row>
    <row r="281" spans="1:26" hidden="1" outlineLevel="1" x14ac:dyDescent="0.25">
      <c r="A281" s="18"/>
      <c r="B281" s="38">
        <f t="shared" si="165"/>
        <v>18</v>
      </c>
      <c r="C281" s="54">
        <f t="shared" si="158"/>
        <v>111.01561856866311</v>
      </c>
      <c r="D281" s="33">
        <f>C281*VLOOKUP($A$264,Ταρίφες!$A$6:$G$23,$K$6,FALSE)*(1+$F$3)^(B281-1)</f>
        <v>42185.935056091985</v>
      </c>
      <c r="E281" s="33">
        <f>C281*VLOOKUP($A$264,Ταρίφες!$A$6:$G$23,$K$7,FALSE)*(1+$F$3)^(B281-1)</f>
        <v>29974.217013539041</v>
      </c>
      <c r="F281" s="46">
        <f t="shared" si="154"/>
        <v>-2800.4828383848489</v>
      </c>
      <c r="G281" s="47">
        <f t="shared" si="155"/>
        <v>-1120.1931353539396</v>
      </c>
      <c r="H281" s="47">
        <f t="shared" si="156"/>
        <v>-3920.6759737387883</v>
      </c>
      <c r="I281" s="46">
        <f t="shared" si="157"/>
        <v>-6301.0863863659097</v>
      </c>
      <c r="J281" s="47">
        <f t="shared" si="159"/>
        <v>-6034</v>
      </c>
      <c r="K281" s="47">
        <f t="shared" si="160"/>
        <v>-5722.46914778461</v>
      </c>
      <c r="L281" s="47">
        <f t="shared" si="161"/>
        <v>-2547.4224567208444</v>
      </c>
      <c r="M281" s="47">
        <f t="shared" si="162"/>
        <v>22321.027574463889</v>
      </c>
      <c r="N281" s="47">
        <f t="shared" si="163"/>
        <v>13284.356222974711</v>
      </c>
      <c r="O281" s="34"/>
      <c r="P281" s="36">
        <f t="shared" si="166"/>
        <v>0</v>
      </c>
      <c r="Q281" s="35"/>
      <c r="R281" s="33"/>
      <c r="S281" s="43"/>
      <c r="T281" s="19"/>
      <c r="U281" s="27">
        <f t="shared" si="164"/>
        <v>22321.027574463889</v>
      </c>
      <c r="V281" s="28">
        <f t="shared" si="164"/>
        <v>13284.356222974711</v>
      </c>
      <c r="W281" s="43"/>
      <c r="X281" s="19"/>
      <c r="Y281" s="42">
        <f t="shared" si="167"/>
        <v>0</v>
      </c>
      <c r="Z281" s="42">
        <f t="shared" si="167"/>
        <v>0</v>
      </c>
    </row>
    <row r="282" spans="1:26" hidden="1" outlineLevel="1" x14ac:dyDescent="0.25">
      <c r="A282" s="18"/>
      <c r="B282" s="38">
        <f t="shared" si="165"/>
        <v>19</v>
      </c>
      <c r="C282" s="54">
        <f t="shared" si="158"/>
        <v>109.90546238297648</v>
      </c>
      <c r="D282" s="33">
        <f>C282*VLOOKUP($A$264,Ταρίφες!$A$6:$G$23,$K$6,FALSE)*(1+$F$3)^(B282-1)</f>
        <v>41764.075705531061</v>
      </c>
      <c r="E282" s="33">
        <f>C282*VLOOKUP($A$264,Ταρίφες!$A$6:$G$23,$K$7,FALSE)*(1+$F$3)^(B282-1)</f>
        <v>29674.474843403648</v>
      </c>
      <c r="F282" s="46">
        <f t="shared" si="154"/>
        <v>-2856.4924951525454</v>
      </c>
      <c r="G282" s="47">
        <f t="shared" si="155"/>
        <v>-1142.5969980610182</v>
      </c>
      <c r="H282" s="47">
        <f t="shared" si="156"/>
        <v>-3999.0894932135634</v>
      </c>
      <c r="I282" s="46">
        <f t="shared" si="157"/>
        <v>-6427.1081140932274</v>
      </c>
      <c r="J282" s="47">
        <f t="shared" si="159"/>
        <v>-6034</v>
      </c>
      <c r="K282" s="47">
        <f t="shared" si="160"/>
        <v>-5539.2450373027832</v>
      </c>
      <c r="L282" s="47">
        <f t="shared" si="161"/>
        <v>-2395.948813149656</v>
      </c>
      <c r="M282" s="47">
        <f t="shared" si="162"/>
        <v>21799.543567707922</v>
      </c>
      <c r="N282" s="47">
        <f t="shared" si="163"/>
        <v>12853.238929733638</v>
      </c>
      <c r="O282" s="34"/>
      <c r="P282" s="36">
        <f t="shared" si="166"/>
        <v>0</v>
      </c>
      <c r="Q282" s="35"/>
      <c r="R282" s="33"/>
      <c r="S282" s="43"/>
      <c r="T282" s="19"/>
      <c r="U282" s="27">
        <f t="shared" si="164"/>
        <v>21799.543567707922</v>
      </c>
      <c r="V282" s="28">
        <f t="shared" si="164"/>
        <v>12853.238929733638</v>
      </c>
      <c r="W282" s="43"/>
      <c r="X282" s="19"/>
      <c r="Y282" s="42">
        <f t="shared" si="167"/>
        <v>0</v>
      </c>
      <c r="Z282" s="42">
        <f t="shared" si="167"/>
        <v>0</v>
      </c>
    </row>
    <row r="283" spans="1:26" hidden="1" outlineLevel="1" x14ac:dyDescent="0.25">
      <c r="A283" s="18"/>
      <c r="B283" s="38">
        <f>B282+1</f>
        <v>20</v>
      </c>
      <c r="C283" s="54">
        <f>C282*(1-$F$2)</f>
        <v>108.80640775914671</v>
      </c>
      <c r="D283" s="33">
        <f>C283*VLOOKUP($A$264,Ταρίφες!$A$6:$G$23,$K$6,FALSE)*(1+$F$3)^(B283-1)</f>
        <v>41346.434948475748</v>
      </c>
      <c r="E283" s="33">
        <f>C283*VLOOKUP($A$264,Ταρίφες!$A$6:$G$23,$K$7,FALSE)*(1+$F$3)^(B283-1)</f>
        <v>29377.730094969611</v>
      </c>
      <c r="F283" s="46">
        <f t="shared" si="154"/>
        <v>-2913.6223450555963</v>
      </c>
      <c r="G283" s="47">
        <f t="shared" si="155"/>
        <v>-1165.4489380222385</v>
      </c>
      <c r="H283" s="47">
        <f>-$K$4*(1+$F$4)^(B283-$B$12)</f>
        <v>-4079.0712830778348</v>
      </c>
      <c r="I283" s="46">
        <f>-(4500*(1+$F$4)^(B283-$B$12))</f>
        <v>-6555.6502763750914</v>
      </c>
      <c r="J283" s="47">
        <f t="shared" si="159"/>
        <v>-6034</v>
      </c>
      <c r="K283" s="47">
        <f>-(D283+SUM(F283:J283))*$F$5</f>
        <v>-5355.6469475456961</v>
      </c>
      <c r="L283" s="47">
        <f>-(E283+SUM(F283:J283))*$F$5</f>
        <v>-2243.7836856341009</v>
      </c>
      <c r="M283" s="47">
        <f>D283+SUM(F283:I283)+K283</f>
        <v>21276.995158399288</v>
      </c>
      <c r="N283" s="47">
        <f>E283+SUM(F283:I283)+L283</f>
        <v>12420.153566804747</v>
      </c>
      <c r="O283" s="34"/>
      <c r="P283" s="36">
        <f t="shared" si="166"/>
        <v>0</v>
      </c>
      <c r="Q283" s="35"/>
      <c r="R283" s="33"/>
      <c r="S283" s="43"/>
      <c r="T283" s="19"/>
      <c r="U283" s="27">
        <f>M283</f>
        <v>21276.995158399288</v>
      </c>
      <c r="V283" s="28">
        <f>N283</f>
        <v>12420.153566804747</v>
      </c>
      <c r="W283" s="43"/>
      <c r="X283" s="19"/>
      <c r="Y283" s="42">
        <f t="shared" si="167"/>
        <v>0</v>
      </c>
      <c r="Z283" s="42">
        <f t="shared" si="167"/>
        <v>0</v>
      </c>
    </row>
    <row r="284" spans="1:26" s="40" customFormat="1" hidden="1" outlineLevel="1" x14ac:dyDescent="0.25">
      <c r="O284" s="17"/>
      <c r="P284" s="36">
        <f t="shared" si="166"/>
        <v>0</v>
      </c>
      <c r="Q284" s="25"/>
      <c r="R284" s="22"/>
      <c r="S284" s="52"/>
      <c r="T284" s="44"/>
      <c r="U284" s="74">
        <f>O285</f>
        <v>-153250</v>
      </c>
      <c r="V284" s="74">
        <f>R285</f>
        <v>-106055.11863558783</v>
      </c>
      <c r="W284" s="52"/>
      <c r="X284" s="44"/>
      <c r="Y284" s="42">
        <f t="shared" si="167"/>
        <v>0</v>
      </c>
      <c r="Z284" s="42">
        <f t="shared" si="167"/>
        <v>0</v>
      </c>
    </row>
    <row r="285" spans="1:26" collapsed="1" x14ac:dyDescent="0.25">
      <c r="A285" s="32" t="str">
        <f>Ταρίφες!A23</f>
        <v>Β Τριμ. 2013</v>
      </c>
      <c r="B285" s="38">
        <f>1</f>
        <v>1</v>
      </c>
      <c r="C285" s="54">
        <f>$F$8*$K$2/1000</f>
        <v>131.69999999999999</v>
      </c>
      <c r="D285" s="33">
        <f>C285*VLOOKUP($A$285,Ταρίφες!$A$6:$G$23,$K$6,FALSE)*(1+$F$3)^(B285-1)</f>
        <v>47411.999999999993</v>
      </c>
      <c r="E285" s="33">
        <f>C285*VLOOKUP($A$285,Ταρίφες!$A$6:$G$23,$K$7,FALSE)*(1+$F$3)^(B285-1)</f>
        <v>32925</v>
      </c>
      <c r="F285" s="46">
        <f t="shared" ref="F285:F304" si="168">-($K$5*(1+$F$4)^(B285-$B$12))</f>
        <v>-2000</v>
      </c>
      <c r="G285" s="47">
        <f t="shared" ref="G285:G304" si="169">-$K$2*10*(1+$F$4)^(B285-$B$12)</f>
        <v>-800</v>
      </c>
      <c r="H285" s="47">
        <f t="shared" ref="H285:H303" si="170">-$K$4*(1+$F$4)^(B285-$B$12)</f>
        <v>-2800</v>
      </c>
      <c r="I285" s="46">
        <f t="shared" ref="I285:I303" si="171">-(4500*(1+$F$4)^(B285-$B$12))</f>
        <v>-4500</v>
      </c>
      <c r="J285" s="47">
        <f>$O$285*4%</f>
        <v>-6130</v>
      </c>
      <c r="K285" s="47">
        <f>-(D285+SUM(F285:J285))*$F$5</f>
        <v>-8107.3199999999988</v>
      </c>
      <c r="L285" s="47">
        <f>-(E285+SUM(F285:J285))*$F$5</f>
        <v>-4340.7</v>
      </c>
      <c r="M285" s="47">
        <f>D285+SUM(F285:I285)+K285</f>
        <v>29204.679999999993</v>
      </c>
      <c r="N285" s="47">
        <f>E285+SUM(F285:I285)+L285</f>
        <v>18484.3</v>
      </c>
      <c r="O285" s="35">
        <f>-VLOOKUP(A285,'Κόστος Κατασκευής'!$A$4:$Q$17,$K$8,FALSE)</f>
        <v>-153250</v>
      </c>
      <c r="P285" s="36">
        <f t="shared" si="166"/>
        <v>61300</v>
      </c>
      <c r="Q285" s="36">
        <f>Q264*15/16</f>
        <v>-14105.118635587836</v>
      </c>
      <c r="R285" s="37">
        <f>SUM(O285:Q285)</f>
        <v>-106055.11863558783</v>
      </c>
      <c r="S285" s="42">
        <f>IRR(U284:U304)</f>
        <v>0.16603924000974657</v>
      </c>
      <c r="T285" s="42">
        <f>IRR(V284:V304)</f>
        <v>0.14307904333973243</v>
      </c>
      <c r="U285" s="27">
        <f>M285</f>
        <v>29204.679999999993</v>
      </c>
      <c r="V285" s="28">
        <f>N285</f>
        <v>18484.3</v>
      </c>
      <c r="W285" s="42">
        <f>'IRR ΔΣ Ισχύον'!S285</f>
        <v>0.16320404192389404</v>
      </c>
      <c r="X285" s="42">
        <f>'IRR ΔΣ Ισχύον'!T285</f>
        <v>0.14546687827811833</v>
      </c>
      <c r="Y285" s="42">
        <f t="shared" si="167"/>
        <v>2.8351980858525305E-3</v>
      </c>
      <c r="Z285" s="42">
        <f t="shared" si="167"/>
        <v>-2.3878349383859021E-3</v>
      </c>
    </row>
    <row r="286" spans="1:26" hidden="1" outlineLevel="1" x14ac:dyDescent="0.25">
      <c r="A286" s="18"/>
      <c r="B286" s="38">
        <f>B285+1</f>
        <v>2</v>
      </c>
      <c r="C286" s="54">
        <f t="shared" ref="C286:C303" si="172">C285*(1-$F$2)</f>
        <v>130.38299999999998</v>
      </c>
      <c r="D286" s="33">
        <f>C286*VLOOKUP($A$285,Ταρίφες!$A$6:$G$23,$K$6,FALSE)*(1+$F$3)^(B286-1)</f>
        <v>46937.87999999999</v>
      </c>
      <c r="E286" s="33">
        <f>C286*VLOOKUP($A$285,Ταρίφες!$A$6:$G$23,$K$7,FALSE)*(1+$F$3)^(B286-1)</f>
        <v>32595.749999999996</v>
      </c>
      <c r="F286" s="46">
        <f t="shared" si="168"/>
        <v>-2040</v>
      </c>
      <c r="G286" s="47">
        <f t="shared" si="169"/>
        <v>-816</v>
      </c>
      <c r="H286" s="47">
        <f t="shared" si="170"/>
        <v>-2856</v>
      </c>
      <c r="I286" s="46">
        <f t="shared" si="171"/>
        <v>-4590</v>
      </c>
      <c r="J286" s="47">
        <f t="shared" ref="J286:J304" si="173">$O$285*4%</f>
        <v>-6130</v>
      </c>
      <c r="K286" s="47">
        <f t="shared" ref="K286:K303" si="174">-(D286+SUM(F286:J286))*$F$5</f>
        <v>-7931.5287999999973</v>
      </c>
      <c r="L286" s="47">
        <f t="shared" ref="L286:L303" si="175">-(E286+SUM(F286:J286))*$F$5</f>
        <v>-4202.5749999999989</v>
      </c>
      <c r="M286" s="47">
        <f t="shared" ref="M286:M303" si="176">D286+SUM(F286:I286)+K286</f>
        <v>28704.351199999994</v>
      </c>
      <c r="N286" s="47">
        <f t="shared" ref="N286:N303" si="177">E286+SUM(F286:I286)+L286</f>
        <v>18091.174999999996</v>
      </c>
      <c r="O286" s="34"/>
      <c r="P286" s="35"/>
      <c r="Q286" s="35"/>
      <c r="R286" s="33"/>
      <c r="S286" s="43"/>
      <c r="T286" s="19"/>
      <c r="U286" s="27">
        <f t="shared" ref="U286:V303" si="178">M286</f>
        <v>28704.351199999994</v>
      </c>
      <c r="V286" s="28">
        <f t="shared" si="178"/>
        <v>18091.174999999996</v>
      </c>
    </row>
    <row r="287" spans="1:26" hidden="1" outlineLevel="1" x14ac:dyDescent="0.25">
      <c r="A287" s="18"/>
      <c r="B287" s="38">
        <f t="shared" ref="B287:B303" si="179">B286+1</f>
        <v>3</v>
      </c>
      <c r="C287" s="54">
        <f t="shared" si="172"/>
        <v>129.07916999999998</v>
      </c>
      <c r="D287" s="33">
        <f>C287*VLOOKUP($A$285,Ταρίφες!$A$6:$G$23,$K$6,FALSE)*(1+$F$3)^(B287-1)</f>
        <v>46468.501199999992</v>
      </c>
      <c r="E287" s="33">
        <f>C287*VLOOKUP($A$285,Ταρίφες!$A$6:$G$23,$K$7,FALSE)*(1+$F$3)^(B287-1)</f>
        <v>32269.792499999996</v>
      </c>
      <c r="F287" s="46">
        <f t="shared" si="168"/>
        <v>-2080.8000000000002</v>
      </c>
      <c r="G287" s="47">
        <f t="shared" si="169"/>
        <v>-832.31999999999994</v>
      </c>
      <c r="H287" s="47">
        <f t="shared" si="170"/>
        <v>-2913.12</v>
      </c>
      <c r="I287" s="46">
        <f t="shared" si="171"/>
        <v>-4681.8</v>
      </c>
      <c r="J287" s="47">
        <f t="shared" si="173"/>
        <v>-6130</v>
      </c>
      <c r="K287" s="47">
        <f t="shared" si="174"/>
        <v>-7755.9199119999976</v>
      </c>
      <c r="L287" s="47">
        <f t="shared" si="175"/>
        <v>-4064.2556499999987</v>
      </c>
      <c r="M287" s="47">
        <f t="shared" si="176"/>
        <v>28204.541287999993</v>
      </c>
      <c r="N287" s="47">
        <f t="shared" si="177"/>
        <v>17697.496849999996</v>
      </c>
      <c r="O287" s="34"/>
      <c r="P287" s="35"/>
      <c r="Q287" s="35"/>
      <c r="R287" s="33"/>
      <c r="S287" s="43"/>
      <c r="T287" s="19"/>
      <c r="U287" s="27">
        <f t="shared" si="178"/>
        <v>28204.541287999993</v>
      </c>
      <c r="V287" s="28">
        <f t="shared" si="178"/>
        <v>17697.496849999996</v>
      </c>
    </row>
    <row r="288" spans="1:26" hidden="1" outlineLevel="1" x14ac:dyDescent="0.25">
      <c r="A288" s="18"/>
      <c r="B288" s="38">
        <f t="shared" si="179"/>
        <v>4</v>
      </c>
      <c r="C288" s="54">
        <f t="shared" si="172"/>
        <v>127.78837829999998</v>
      </c>
      <c r="D288" s="33">
        <f>C288*VLOOKUP($A$285,Ταρίφες!$A$6:$G$23,$K$6,FALSE)*(1+$F$3)^(B288-1)</f>
        <v>46003.81618799999</v>
      </c>
      <c r="E288" s="33">
        <f>C288*VLOOKUP($A$285,Ταρίφες!$A$6:$G$23,$K$7,FALSE)*(1+$F$3)^(B288-1)</f>
        <v>31947.094574999996</v>
      </c>
      <c r="F288" s="46">
        <f t="shared" si="168"/>
        <v>-2122.4159999999997</v>
      </c>
      <c r="G288" s="47">
        <f t="shared" si="169"/>
        <v>-848.96639999999991</v>
      </c>
      <c r="H288" s="47">
        <f t="shared" si="170"/>
        <v>-2971.3824</v>
      </c>
      <c r="I288" s="46">
        <f t="shared" si="171"/>
        <v>-4775.4359999999997</v>
      </c>
      <c r="J288" s="47">
        <f t="shared" si="173"/>
        <v>-6130</v>
      </c>
      <c r="K288" s="47">
        <f t="shared" si="174"/>
        <v>-7580.460000879998</v>
      </c>
      <c r="L288" s="47">
        <f t="shared" si="175"/>
        <v>-3925.7123814999991</v>
      </c>
      <c r="M288" s="47">
        <f t="shared" si="176"/>
        <v>27705.155387119994</v>
      </c>
      <c r="N288" s="47">
        <f t="shared" si="177"/>
        <v>17303.181393499999</v>
      </c>
      <c r="O288" s="34"/>
      <c r="P288" s="35"/>
      <c r="Q288" s="35"/>
      <c r="R288" s="33"/>
      <c r="S288" s="43"/>
      <c r="T288" s="19"/>
      <c r="U288" s="27">
        <f t="shared" si="178"/>
        <v>27705.155387119994</v>
      </c>
      <c r="V288" s="28">
        <f t="shared" si="178"/>
        <v>17303.181393499999</v>
      </c>
    </row>
    <row r="289" spans="1:22" hidden="1" outlineLevel="1" x14ac:dyDescent="0.25">
      <c r="A289" s="18"/>
      <c r="B289" s="38">
        <f t="shared" si="179"/>
        <v>5</v>
      </c>
      <c r="C289" s="54">
        <f t="shared" si="172"/>
        <v>126.51049451699997</v>
      </c>
      <c r="D289" s="33">
        <f>C289*VLOOKUP($A$285,Ταρίφες!$A$6:$G$23,$K$6,FALSE)*(1+$F$3)^(B289-1)</f>
        <v>45543.778026119988</v>
      </c>
      <c r="E289" s="33">
        <f>C289*VLOOKUP($A$285,Ταρίφες!$A$6:$G$23,$K$7,FALSE)*(1+$F$3)^(B289-1)</f>
        <v>31627.623629249993</v>
      </c>
      <c r="F289" s="46">
        <f t="shared" si="168"/>
        <v>-2164.8643200000001</v>
      </c>
      <c r="G289" s="47">
        <f t="shared" si="169"/>
        <v>-865.94572800000003</v>
      </c>
      <c r="H289" s="47">
        <f t="shared" si="170"/>
        <v>-3030.8100479999998</v>
      </c>
      <c r="I289" s="46">
        <f t="shared" si="171"/>
        <v>-4870.9447199999995</v>
      </c>
      <c r="J289" s="47">
        <f t="shared" si="173"/>
        <v>-6130</v>
      </c>
      <c r="K289" s="47">
        <f t="shared" si="174"/>
        <v>-7405.1154346311978</v>
      </c>
      <c r="L289" s="47">
        <f t="shared" si="175"/>
        <v>-3786.9152914449987</v>
      </c>
      <c r="M289" s="47">
        <f t="shared" si="176"/>
        <v>27206.097775488794</v>
      </c>
      <c r="N289" s="47">
        <f t="shared" si="177"/>
        <v>16908.143521804992</v>
      </c>
      <c r="O289" s="34"/>
      <c r="P289" s="35"/>
      <c r="Q289" s="35"/>
      <c r="R289" s="33"/>
      <c r="S289" s="43"/>
      <c r="T289" s="19"/>
      <c r="U289" s="27">
        <f t="shared" si="178"/>
        <v>27206.097775488794</v>
      </c>
      <c r="V289" s="28">
        <f t="shared" si="178"/>
        <v>16908.143521804992</v>
      </c>
    </row>
    <row r="290" spans="1:22" hidden="1" outlineLevel="1" x14ac:dyDescent="0.25">
      <c r="A290" s="18"/>
      <c r="B290" s="38">
        <f t="shared" si="179"/>
        <v>6</v>
      </c>
      <c r="C290" s="54">
        <f t="shared" si="172"/>
        <v>125.24538957182997</v>
      </c>
      <c r="D290" s="33">
        <f>C290*VLOOKUP($A$285,Ταρίφες!$A$6:$G$23,$K$6,FALSE)*(1+$F$3)^(B290-1)</f>
        <v>45088.340245858788</v>
      </c>
      <c r="E290" s="33">
        <f>C290*VLOOKUP($A$285,Ταρίφες!$A$6:$G$23,$K$7,FALSE)*(1+$F$3)^(B290-1)</f>
        <v>31311.347392957494</v>
      </c>
      <c r="F290" s="46">
        <f t="shared" si="168"/>
        <v>-2208.1616064</v>
      </c>
      <c r="G290" s="47">
        <f t="shared" si="169"/>
        <v>-883.26464255999997</v>
      </c>
      <c r="H290" s="47">
        <f t="shared" si="170"/>
        <v>-3091.4262489600001</v>
      </c>
      <c r="I290" s="46">
        <f t="shared" si="171"/>
        <v>-4968.3636144000002</v>
      </c>
      <c r="J290" s="47">
        <f t="shared" si="173"/>
        <v>-6130</v>
      </c>
      <c r="K290" s="47">
        <f t="shared" si="174"/>
        <v>-7229.8522747200859</v>
      </c>
      <c r="L290" s="47">
        <f t="shared" si="175"/>
        <v>-3647.8341329657487</v>
      </c>
      <c r="M290" s="47">
        <f t="shared" si="176"/>
        <v>26707.271858818705</v>
      </c>
      <c r="N290" s="47">
        <f t="shared" si="177"/>
        <v>16512.297147671743</v>
      </c>
      <c r="O290" s="34"/>
      <c r="P290" s="35"/>
      <c r="Q290" s="35"/>
      <c r="R290" s="33"/>
      <c r="S290" s="43"/>
      <c r="T290" s="19"/>
      <c r="U290" s="27">
        <f t="shared" si="178"/>
        <v>26707.271858818705</v>
      </c>
      <c r="V290" s="28">
        <f t="shared" si="178"/>
        <v>16512.297147671743</v>
      </c>
    </row>
    <row r="291" spans="1:22" hidden="1" outlineLevel="1" x14ac:dyDescent="0.25">
      <c r="A291" s="18"/>
      <c r="B291" s="38">
        <f t="shared" si="179"/>
        <v>7</v>
      </c>
      <c r="C291" s="54">
        <f t="shared" si="172"/>
        <v>123.99293567611167</v>
      </c>
      <c r="D291" s="33">
        <f>C291*VLOOKUP($A$285,Ταρίφες!$A$6:$G$23,$K$6,FALSE)*(1+$F$3)^(B291-1)</f>
        <v>44637.456843400199</v>
      </c>
      <c r="E291" s="33">
        <f>C291*VLOOKUP($A$285,Ταρίφες!$A$6:$G$23,$K$7,FALSE)*(1+$F$3)^(B291-1)</f>
        <v>30998.233919027916</v>
      </c>
      <c r="F291" s="46">
        <f t="shared" si="168"/>
        <v>-2252.3248385280003</v>
      </c>
      <c r="G291" s="47">
        <f t="shared" si="169"/>
        <v>-900.92993541120006</v>
      </c>
      <c r="H291" s="47">
        <f t="shared" si="170"/>
        <v>-3153.2547739392003</v>
      </c>
      <c r="I291" s="46">
        <f t="shared" si="171"/>
        <v>-5067.7308866880003</v>
      </c>
      <c r="J291" s="47">
        <f t="shared" si="173"/>
        <v>-6130</v>
      </c>
      <c r="K291" s="47">
        <f t="shared" si="174"/>
        <v>-7054.6362662967886</v>
      </c>
      <c r="L291" s="47">
        <f t="shared" si="175"/>
        <v>-3508.4383059599945</v>
      </c>
      <c r="M291" s="47">
        <f t="shared" si="176"/>
        <v>26208.580142537015</v>
      </c>
      <c r="N291" s="47">
        <f t="shared" si="177"/>
        <v>16115.555178501521</v>
      </c>
      <c r="O291" s="34"/>
      <c r="P291" s="35"/>
      <c r="Q291" s="35"/>
      <c r="R291" s="33"/>
      <c r="S291" s="43"/>
      <c r="T291" s="19"/>
      <c r="U291" s="27">
        <f t="shared" si="178"/>
        <v>26208.580142537015</v>
      </c>
      <c r="V291" s="28">
        <f t="shared" si="178"/>
        <v>16115.555178501521</v>
      </c>
    </row>
    <row r="292" spans="1:22" hidden="1" outlineLevel="1" x14ac:dyDescent="0.25">
      <c r="A292" s="18"/>
      <c r="B292" s="38">
        <f t="shared" si="179"/>
        <v>8</v>
      </c>
      <c r="C292" s="54">
        <f t="shared" si="172"/>
        <v>122.75300631935055</v>
      </c>
      <c r="D292" s="33">
        <f>C292*VLOOKUP($A$285,Ταρίφες!$A$6:$G$23,$K$6,FALSE)*(1+$F$3)^(B292-1)</f>
        <v>44191.082274966197</v>
      </c>
      <c r="E292" s="33">
        <f>C292*VLOOKUP($A$285,Ταρίφες!$A$6:$G$23,$K$7,FALSE)*(1+$F$3)^(B292-1)</f>
        <v>30688.251579837637</v>
      </c>
      <c r="F292" s="46">
        <f t="shared" si="168"/>
        <v>-2297.3713352985596</v>
      </c>
      <c r="G292" s="47">
        <f t="shared" si="169"/>
        <v>-918.94853411942381</v>
      </c>
      <c r="H292" s="47">
        <f t="shared" si="170"/>
        <v>-3216.3198694179837</v>
      </c>
      <c r="I292" s="46">
        <f t="shared" si="171"/>
        <v>-5169.0855044217587</v>
      </c>
      <c r="J292" s="47">
        <f t="shared" si="173"/>
        <v>-6130</v>
      </c>
      <c r="K292" s="47">
        <f t="shared" si="174"/>
        <v>-6879.4328282442029</v>
      </c>
      <c r="L292" s="47">
        <f t="shared" si="175"/>
        <v>-3368.6968475107769</v>
      </c>
      <c r="M292" s="47">
        <f t="shared" si="176"/>
        <v>25709.924203464267</v>
      </c>
      <c r="N292" s="47">
        <f t="shared" si="177"/>
        <v>15717.829489069134</v>
      </c>
      <c r="O292" s="34"/>
      <c r="P292" s="35"/>
      <c r="Q292" s="35"/>
      <c r="R292" s="33"/>
      <c r="S292" s="43"/>
      <c r="T292" s="19"/>
      <c r="U292" s="27">
        <f t="shared" si="178"/>
        <v>25709.924203464267</v>
      </c>
      <c r="V292" s="28">
        <f t="shared" si="178"/>
        <v>15717.829489069134</v>
      </c>
    </row>
    <row r="293" spans="1:22" hidden="1" outlineLevel="1" x14ac:dyDescent="0.25">
      <c r="A293" s="18"/>
      <c r="B293" s="38">
        <f t="shared" si="179"/>
        <v>9</v>
      </c>
      <c r="C293" s="54">
        <f t="shared" si="172"/>
        <v>121.52547625615703</v>
      </c>
      <c r="D293" s="33">
        <f>C293*VLOOKUP($A$285,Ταρίφες!$A$6:$G$23,$K$6,FALSE)*(1+$F$3)^(B293-1)</f>
        <v>43749.171452216535</v>
      </c>
      <c r="E293" s="33">
        <f>C293*VLOOKUP($A$285,Ταρίφες!$A$6:$G$23,$K$7,FALSE)*(1+$F$3)^(B293-1)</f>
        <v>30381.36906403926</v>
      </c>
      <c r="F293" s="46">
        <f t="shared" si="168"/>
        <v>-2343.318762004531</v>
      </c>
      <c r="G293" s="47">
        <f t="shared" si="169"/>
        <v>-937.32750480181244</v>
      </c>
      <c r="H293" s="47">
        <f t="shared" si="170"/>
        <v>-3280.6462668063436</v>
      </c>
      <c r="I293" s="46">
        <f t="shared" si="171"/>
        <v>-5272.4672145101949</v>
      </c>
      <c r="J293" s="47">
        <f t="shared" si="173"/>
        <v>-6130</v>
      </c>
      <c r="K293" s="47">
        <f t="shared" si="174"/>
        <v>-6704.2070430643507</v>
      </c>
      <c r="L293" s="47">
        <f t="shared" si="175"/>
        <v>-3228.5784221382587</v>
      </c>
      <c r="M293" s="47">
        <f t="shared" si="176"/>
        <v>25211.204661029304</v>
      </c>
      <c r="N293" s="47">
        <f t="shared" si="177"/>
        <v>15319.030893778121</v>
      </c>
      <c r="O293" s="34"/>
      <c r="P293" s="35"/>
      <c r="Q293" s="35"/>
      <c r="R293" s="33"/>
      <c r="S293" s="43"/>
      <c r="T293" s="19"/>
      <c r="U293" s="27">
        <f t="shared" si="178"/>
        <v>25211.204661029304</v>
      </c>
      <c r="V293" s="28">
        <f t="shared" si="178"/>
        <v>15319.030893778121</v>
      </c>
    </row>
    <row r="294" spans="1:22" hidden="1" outlineLevel="1" x14ac:dyDescent="0.25">
      <c r="A294" s="18"/>
      <c r="B294" s="38">
        <f t="shared" si="179"/>
        <v>10</v>
      </c>
      <c r="C294" s="54">
        <f t="shared" si="172"/>
        <v>120.31022149359546</v>
      </c>
      <c r="D294" s="33">
        <f>C294*VLOOKUP($A$285,Ταρίφες!$A$6:$G$23,$K$6,FALSE)*(1+$F$3)^(B294-1)</f>
        <v>43311.679737694365</v>
      </c>
      <c r="E294" s="33">
        <f>C294*VLOOKUP($A$285,Ταρίφες!$A$6:$G$23,$K$7,FALSE)*(1+$F$3)^(B294-1)</f>
        <v>30077.555373398867</v>
      </c>
      <c r="F294" s="46">
        <f t="shared" si="168"/>
        <v>-2390.1851372446217</v>
      </c>
      <c r="G294" s="47">
        <f t="shared" si="169"/>
        <v>-956.07405489784867</v>
      </c>
      <c r="H294" s="47">
        <f t="shared" si="170"/>
        <v>-3346.2591921424705</v>
      </c>
      <c r="I294" s="46">
        <f t="shared" si="171"/>
        <v>-5377.9165588003989</v>
      </c>
      <c r="J294" s="47">
        <f t="shared" si="173"/>
        <v>-6130</v>
      </c>
      <c r="K294" s="47">
        <f t="shared" si="174"/>
        <v>-6528.9236465983467</v>
      </c>
      <c r="L294" s="47">
        <f t="shared" si="175"/>
        <v>-3088.051311881517</v>
      </c>
      <c r="M294" s="47">
        <f t="shared" si="176"/>
        <v>24712.321148010677</v>
      </c>
      <c r="N294" s="47">
        <f t="shared" si="177"/>
        <v>14919.069118432009</v>
      </c>
      <c r="O294" s="34"/>
      <c r="P294" s="35"/>
      <c r="Q294" s="35"/>
      <c r="R294" s="33"/>
      <c r="S294" s="43"/>
      <c r="T294" s="19"/>
      <c r="U294" s="27">
        <f t="shared" si="178"/>
        <v>24712.321148010677</v>
      </c>
      <c r="V294" s="28">
        <f t="shared" si="178"/>
        <v>14919.069118432009</v>
      </c>
    </row>
    <row r="295" spans="1:22" hidden="1" outlineLevel="1" x14ac:dyDescent="0.25">
      <c r="A295" s="18"/>
      <c r="B295" s="38">
        <f t="shared" si="179"/>
        <v>11</v>
      </c>
      <c r="C295" s="54">
        <f t="shared" si="172"/>
        <v>119.10711927865951</v>
      </c>
      <c r="D295" s="33">
        <f>C295*VLOOKUP($A$285,Ταρίφες!$A$6:$G$23,$K$6,FALSE)*(1+$F$3)^(B295-1)</f>
        <v>42878.562940317424</v>
      </c>
      <c r="E295" s="33">
        <f>C295*VLOOKUP($A$285,Ταρίφες!$A$6:$G$23,$K$7,FALSE)*(1+$F$3)^(B295-1)</f>
        <v>29776.779819664876</v>
      </c>
      <c r="F295" s="46">
        <f t="shared" si="168"/>
        <v>-2437.9888399895144</v>
      </c>
      <c r="G295" s="47">
        <f t="shared" si="169"/>
        <v>-975.1955359958057</v>
      </c>
      <c r="H295" s="47">
        <f t="shared" si="170"/>
        <v>-3413.18437598532</v>
      </c>
      <c r="I295" s="46">
        <f t="shared" si="171"/>
        <v>-5485.4748899764072</v>
      </c>
      <c r="J295" s="47">
        <f t="shared" si="173"/>
        <v>-6130</v>
      </c>
      <c r="K295" s="47">
        <f t="shared" si="174"/>
        <v>-6353.5470175762985</v>
      </c>
      <c r="L295" s="47">
        <f t="shared" si="175"/>
        <v>-2947.083406206636</v>
      </c>
      <c r="M295" s="47">
        <f t="shared" si="176"/>
        <v>24213.172280794082</v>
      </c>
      <c r="N295" s="47">
        <f t="shared" si="177"/>
        <v>14517.852771511192</v>
      </c>
      <c r="O295" s="34"/>
      <c r="P295" s="35"/>
      <c r="Q295" s="35"/>
      <c r="R295" s="33"/>
      <c r="S295" s="43"/>
      <c r="T295" s="19"/>
      <c r="U295" s="27">
        <f t="shared" si="178"/>
        <v>24213.172280794082</v>
      </c>
      <c r="V295" s="28">
        <f t="shared" si="178"/>
        <v>14517.852771511192</v>
      </c>
    </row>
    <row r="296" spans="1:22" hidden="1" outlineLevel="1" x14ac:dyDescent="0.25">
      <c r="A296" s="18"/>
      <c r="B296" s="38">
        <f t="shared" si="179"/>
        <v>12</v>
      </c>
      <c r="C296" s="54">
        <f t="shared" si="172"/>
        <v>117.91604808587292</v>
      </c>
      <c r="D296" s="33">
        <f>C296*VLOOKUP($A$285,Ταρίφες!$A$6:$G$23,$K$6,FALSE)*(1+$F$3)^(B296-1)</f>
        <v>42449.777310914251</v>
      </c>
      <c r="E296" s="33">
        <f>C296*VLOOKUP($A$285,Ταρίφες!$A$6:$G$23,$K$7,FALSE)*(1+$F$3)^(B296-1)</f>
        <v>29479.012021468228</v>
      </c>
      <c r="F296" s="46">
        <f t="shared" si="168"/>
        <v>-2486.7486167893039</v>
      </c>
      <c r="G296" s="47">
        <f t="shared" si="169"/>
        <v>-994.69944671572159</v>
      </c>
      <c r="H296" s="47">
        <f t="shared" si="170"/>
        <v>-3481.4480635050259</v>
      </c>
      <c r="I296" s="46">
        <f t="shared" si="171"/>
        <v>-5595.1843877759338</v>
      </c>
      <c r="J296" s="47">
        <f t="shared" si="173"/>
        <v>-6130</v>
      </c>
      <c r="K296" s="47">
        <f t="shared" si="174"/>
        <v>-6178.0411669933492</v>
      </c>
      <c r="L296" s="47">
        <f t="shared" si="175"/>
        <v>-2805.6421917373832</v>
      </c>
      <c r="M296" s="47">
        <f t="shared" si="176"/>
        <v>23713.655629134915</v>
      </c>
      <c r="N296" s="47">
        <f t="shared" si="177"/>
        <v>14115.289314944859</v>
      </c>
      <c r="O296" s="34"/>
      <c r="P296" s="35"/>
      <c r="Q296" s="35"/>
      <c r="R296" s="33"/>
      <c r="S296" s="43"/>
      <c r="T296" s="19"/>
      <c r="U296" s="27">
        <f t="shared" si="178"/>
        <v>23713.655629134915</v>
      </c>
      <c r="V296" s="28">
        <f t="shared" si="178"/>
        <v>14115.289314944859</v>
      </c>
    </row>
    <row r="297" spans="1:22" hidden="1" outlineLevel="1" x14ac:dyDescent="0.25">
      <c r="A297" s="18"/>
      <c r="B297" s="38">
        <f t="shared" si="179"/>
        <v>13</v>
      </c>
      <c r="C297" s="54">
        <f t="shared" si="172"/>
        <v>116.73688760501419</v>
      </c>
      <c r="D297" s="33">
        <f>C297*VLOOKUP($A$285,Ταρίφες!$A$6:$G$23,$K$6,FALSE)*(1+$F$3)^(B297-1)</f>
        <v>42025.279537805109</v>
      </c>
      <c r="E297" s="33">
        <f>C297*VLOOKUP($A$285,Ταρίφες!$A$6:$G$23,$K$7,FALSE)*(1+$F$3)^(B297-1)</f>
        <v>29184.221901253546</v>
      </c>
      <c r="F297" s="46">
        <f t="shared" si="168"/>
        <v>-2536.4835891250905</v>
      </c>
      <c r="G297" s="47">
        <f t="shared" si="169"/>
        <v>-1014.5934356500362</v>
      </c>
      <c r="H297" s="47">
        <f t="shared" si="170"/>
        <v>-3551.0770247751266</v>
      </c>
      <c r="I297" s="46">
        <f t="shared" si="171"/>
        <v>-5707.0880755314538</v>
      </c>
      <c r="J297" s="47">
        <f t="shared" si="173"/>
        <v>-6130</v>
      </c>
      <c r="K297" s="47">
        <f t="shared" si="174"/>
        <v>-6002.3697273080852</v>
      </c>
      <c r="L297" s="47">
        <f t="shared" si="175"/>
        <v>-2663.6947418046784</v>
      </c>
      <c r="M297" s="47">
        <f t="shared" si="176"/>
        <v>23213.667685415319</v>
      </c>
      <c r="N297" s="47">
        <f t="shared" si="177"/>
        <v>13711.285034367162</v>
      </c>
      <c r="O297" s="34"/>
      <c r="P297" s="35"/>
      <c r="Q297" s="35"/>
      <c r="R297" s="33"/>
      <c r="S297" s="43"/>
      <c r="T297" s="19"/>
      <c r="U297" s="27">
        <f t="shared" si="178"/>
        <v>23213.667685415319</v>
      </c>
      <c r="V297" s="28">
        <f t="shared" si="178"/>
        <v>13711.285034367162</v>
      </c>
    </row>
    <row r="298" spans="1:22" hidden="1" outlineLevel="1" x14ac:dyDescent="0.25">
      <c r="A298" s="18"/>
      <c r="B298" s="38">
        <f t="shared" si="179"/>
        <v>14</v>
      </c>
      <c r="C298" s="54">
        <f t="shared" si="172"/>
        <v>115.56951872896404</v>
      </c>
      <c r="D298" s="33">
        <f>C298*VLOOKUP($A$285,Ταρίφες!$A$6:$G$23,$K$6,FALSE)*(1+$F$3)^(B298-1)</f>
        <v>41605.026742427057</v>
      </c>
      <c r="E298" s="33">
        <f>C298*VLOOKUP($A$285,Ταρίφες!$A$6:$G$23,$K$7,FALSE)*(1+$F$3)^(B298-1)</f>
        <v>28892.379682241011</v>
      </c>
      <c r="F298" s="46">
        <f t="shared" si="168"/>
        <v>-2587.213260907592</v>
      </c>
      <c r="G298" s="47">
        <f t="shared" si="169"/>
        <v>-1034.8853043630368</v>
      </c>
      <c r="H298" s="47">
        <f t="shared" si="170"/>
        <v>-3622.098565270629</v>
      </c>
      <c r="I298" s="46">
        <f t="shared" si="171"/>
        <v>-5821.2298370420822</v>
      </c>
      <c r="J298" s="47">
        <f t="shared" si="173"/>
        <v>-6130</v>
      </c>
      <c r="K298" s="47">
        <f t="shared" si="174"/>
        <v>-5826.4959414593668</v>
      </c>
      <c r="L298" s="47">
        <f t="shared" si="175"/>
        <v>-2521.2077058109949</v>
      </c>
      <c r="M298" s="47">
        <f t="shared" si="176"/>
        <v>22713.103833384353</v>
      </c>
      <c r="N298" s="47">
        <f t="shared" si="177"/>
        <v>13305.745008846678</v>
      </c>
      <c r="O298" s="34"/>
      <c r="P298" s="35"/>
      <c r="Q298" s="35"/>
      <c r="R298" s="33"/>
      <c r="S298" s="43"/>
      <c r="T298" s="19"/>
      <c r="U298" s="27">
        <f t="shared" si="178"/>
        <v>22713.103833384353</v>
      </c>
      <c r="V298" s="28">
        <f t="shared" si="178"/>
        <v>13305.745008846678</v>
      </c>
    </row>
    <row r="299" spans="1:22" hidden="1" outlineLevel="1" x14ac:dyDescent="0.25">
      <c r="A299" s="18"/>
      <c r="B299" s="38">
        <f t="shared" si="179"/>
        <v>15</v>
      </c>
      <c r="C299" s="54">
        <f t="shared" si="172"/>
        <v>114.4138235416744</v>
      </c>
      <c r="D299" s="33">
        <f>C299*VLOOKUP($A$285,Ταρίφες!$A$6:$G$23,$K$6,FALSE)*(1+$F$3)^(B299-1)</f>
        <v>41188.976475002783</v>
      </c>
      <c r="E299" s="33">
        <f>C299*VLOOKUP($A$285,Ταρίφες!$A$6:$G$23,$K$7,FALSE)*(1+$F$3)^(B299-1)</f>
        <v>28603.4558854186</v>
      </c>
      <c r="F299" s="46">
        <f t="shared" si="168"/>
        <v>-2638.9575261257442</v>
      </c>
      <c r="G299" s="47">
        <f t="shared" si="169"/>
        <v>-1055.5830104502977</v>
      </c>
      <c r="H299" s="47">
        <f t="shared" si="170"/>
        <v>-3694.5405365760421</v>
      </c>
      <c r="I299" s="46">
        <f t="shared" si="171"/>
        <v>-5937.6544337829246</v>
      </c>
      <c r="J299" s="47">
        <f t="shared" si="173"/>
        <v>-6130</v>
      </c>
      <c r="K299" s="47">
        <f t="shared" si="174"/>
        <v>-5650.3826516976214</v>
      </c>
      <c r="L299" s="47">
        <f t="shared" si="175"/>
        <v>-2378.1472984057336</v>
      </c>
      <c r="M299" s="47">
        <f t="shared" si="176"/>
        <v>22211.858316370151</v>
      </c>
      <c r="N299" s="47">
        <f t="shared" si="177"/>
        <v>12898.573080077858</v>
      </c>
      <c r="O299" s="34"/>
      <c r="P299" s="35"/>
      <c r="Q299" s="35"/>
      <c r="R299" s="33"/>
      <c r="S299" s="43"/>
      <c r="T299" s="19"/>
      <c r="U299" s="27">
        <f t="shared" si="178"/>
        <v>22211.858316370151</v>
      </c>
      <c r="V299" s="28">
        <f t="shared" si="178"/>
        <v>12898.573080077858</v>
      </c>
    </row>
    <row r="300" spans="1:22" hidden="1" outlineLevel="1" x14ac:dyDescent="0.25">
      <c r="A300" s="18"/>
      <c r="B300" s="38">
        <f t="shared" si="179"/>
        <v>16</v>
      </c>
      <c r="C300" s="54">
        <f t="shared" si="172"/>
        <v>113.26968530625766</v>
      </c>
      <c r="D300" s="33">
        <f>C300*VLOOKUP($A$285,Ταρίφες!$A$6:$G$23,$K$6,FALSE)*(1+$F$3)^(B300-1)</f>
        <v>40777.086710252755</v>
      </c>
      <c r="E300" s="33">
        <f>C300*VLOOKUP($A$285,Ταρίφες!$A$6:$G$23,$K$7,FALSE)*(1+$F$3)^(B300-1)</f>
        <v>28317.421326564414</v>
      </c>
      <c r="F300" s="46">
        <f t="shared" si="168"/>
        <v>-2691.7366766482583</v>
      </c>
      <c r="G300" s="47">
        <f t="shared" si="169"/>
        <v>-1076.6946706593035</v>
      </c>
      <c r="H300" s="47">
        <f t="shared" si="170"/>
        <v>-3768.4313473075617</v>
      </c>
      <c r="I300" s="46">
        <f t="shared" si="171"/>
        <v>-6056.4075224585813</v>
      </c>
      <c r="J300" s="47">
        <f t="shared" si="173"/>
        <v>-6130</v>
      </c>
      <c r="K300" s="47">
        <f t="shared" si="174"/>
        <v>-5473.9922882265537</v>
      </c>
      <c r="L300" s="47">
        <f t="shared" si="175"/>
        <v>-2234.4792884675849</v>
      </c>
      <c r="M300" s="47">
        <f t="shared" si="176"/>
        <v>21709.8242049525</v>
      </c>
      <c r="N300" s="47">
        <f t="shared" si="177"/>
        <v>12489.671821023125</v>
      </c>
      <c r="O300" s="34"/>
      <c r="P300" s="35"/>
      <c r="Q300" s="35"/>
      <c r="R300" s="33"/>
      <c r="S300" s="43"/>
      <c r="T300" s="19"/>
      <c r="U300" s="27">
        <f t="shared" si="178"/>
        <v>21709.8242049525</v>
      </c>
      <c r="V300" s="28">
        <f t="shared" si="178"/>
        <v>12489.671821023125</v>
      </c>
    </row>
    <row r="301" spans="1:22" hidden="1" outlineLevel="1" x14ac:dyDescent="0.25">
      <c r="A301" s="18"/>
      <c r="B301" s="38">
        <f t="shared" si="179"/>
        <v>17</v>
      </c>
      <c r="C301" s="54">
        <f t="shared" si="172"/>
        <v>112.13698845319507</v>
      </c>
      <c r="D301" s="33">
        <f>C301*VLOOKUP($A$285,Ταρίφες!$A$6:$G$23,$K$6,FALSE)*(1+$F$3)^(B301-1)</f>
        <v>40369.315843150223</v>
      </c>
      <c r="E301" s="33">
        <f>C301*VLOOKUP($A$285,Ταρίφες!$A$6:$G$23,$K$7,FALSE)*(1+$F$3)^(B301-1)</f>
        <v>28034.247113298767</v>
      </c>
      <c r="F301" s="46">
        <f t="shared" si="168"/>
        <v>-2745.5714101812241</v>
      </c>
      <c r="G301" s="47">
        <f t="shared" si="169"/>
        <v>-1098.2285640724897</v>
      </c>
      <c r="H301" s="47">
        <f t="shared" si="170"/>
        <v>-3843.7999742537136</v>
      </c>
      <c r="I301" s="46">
        <f t="shared" si="171"/>
        <v>-6177.5356729077539</v>
      </c>
      <c r="J301" s="47">
        <f t="shared" si="173"/>
        <v>-6130</v>
      </c>
      <c r="K301" s="47">
        <f t="shared" si="174"/>
        <v>-5297.2868576511109</v>
      </c>
      <c r="L301" s="47">
        <f t="shared" si="175"/>
        <v>-2090.1689878897323</v>
      </c>
      <c r="M301" s="47">
        <f t="shared" si="176"/>
        <v>21206.893364083931</v>
      </c>
      <c r="N301" s="47">
        <f t="shared" si="177"/>
        <v>12078.942503993852</v>
      </c>
      <c r="O301" s="34"/>
      <c r="P301" s="35"/>
      <c r="Q301" s="35"/>
      <c r="R301" s="33"/>
      <c r="S301" s="43"/>
      <c r="T301" s="19"/>
      <c r="U301" s="27">
        <f t="shared" si="178"/>
        <v>21206.893364083931</v>
      </c>
      <c r="V301" s="28">
        <f t="shared" si="178"/>
        <v>12078.942503993852</v>
      </c>
    </row>
    <row r="302" spans="1:22" hidden="1" outlineLevel="1" x14ac:dyDescent="0.25">
      <c r="A302" s="18"/>
      <c r="B302" s="38">
        <f t="shared" si="179"/>
        <v>18</v>
      </c>
      <c r="C302" s="54">
        <f t="shared" si="172"/>
        <v>111.01561856866311</v>
      </c>
      <c r="D302" s="33">
        <f>C302*VLOOKUP($A$285,Ταρίφες!$A$6:$G$23,$K$6,FALSE)*(1+$F$3)^(B302-1)</f>
        <v>39965.622684718721</v>
      </c>
      <c r="E302" s="33">
        <f>C302*VLOOKUP($A$285,Ταρίφες!$A$6:$G$23,$K$7,FALSE)*(1+$F$3)^(B302-1)</f>
        <v>27753.90464216578</v>
      </c>
      <c r="F302" s="46">
        <f t="shared" si="168"/>
        <v>-2800.4828383848489</v>
      </c>
      <c r="G302" s="47">
        <f t="shared" si="169"/>
        <v>-1120.1931353539396</v>
      </c>
      <c r="H302" s="47">
        <f t="shared" si="170"/>
        <v>-3920.6759737387883</v>
      </c>
      <c r="I302" s="46">
        <f t="shared" si="171"/>
        <v>-6301.0863863659097</v>
      </c>
      <c r="J302" s="47">
        <f t="shared" si="173"/>
        <v>-6130</v>
      </c>
      <c r="K302" s="47">
        <f t="shared" si="174"/>
        <v>-5120.2279312275614</v>
      </c>
      <c r="L302" s="47">
        <f t="shared" si="175"/>
        <v>-1945.1812401637967</v>
      </c>
      <c r="M302" s="47">
        <f t="shared" si="176"/>
        <v>20702.956419647675</v>
      </c>
      <c r="N302" s="47">
        <f t="shared" si="177"/>
        <v>11666.285068158499</v>
      </c>
      <c r="O302" s="34"/>
      <c r="P302" s="35"/>
      <c r="Q302" s="35"/>
      <c r="R302" s="33"/>
      <c r="S302" s="43"/>
      <c r="T302" s="19"/>
      <c r="U302" s="27">
        <f t="shared" si="178"/>
        <v>20702.956419647675</v>
      </c>
      <c r="V302" s="28">
        <f t="shared" si="178"/>
        <v>11666.285068158499</v>
      </c>
    </row>
    <row r="303" spans="1:22" hidden="1" outlineLevel="1" x14ac:dyDescent="0.25">
      <c r="A303" s="18"/>
      <c r="B303" s="38">
        <f t="shared" si="179"/>
        <v>19</v>
      </c>
      <c r="C303" s="54">
        <f t="shared" si="172"/>
        <v>109.90546238297648</v>
      </c>
      <c r="D303" s="33">
        <f>C303*VLOOKUP($A$285,Ταρίφες!$A$6:$G$23,$K$6,FALSE)*(1+$F$3)^(B303-1)</f>
        <v>39565.966457871531</v>
      </c>
      <c r="E303" s="33">
        <f>C303*VLOOKUP($A$285,Ταρίφες!$A$6:$G$23,$K$7,FALSE)*(1+$F$3)^(B303-1)</f>
        <v>27476.365595744119</v>
      </c>
      <c r="F303" s="46">
        <f t="shared" si="168"/>
        <v>-2856.4924951525454</v>
      </c>
      <c r="G303" s="47">
        <f t="shared" si="169"/>
        <v>-1142.5969980610182</v>
      </c>
      <c r="H303" s="47">
        <f t="shared" si="170"/>
        <v>-3999.0894932135634</v>
      </c>
      <c r="I303" s="46">
        <f t="shared" si="171"/>
        <v>-6427.1081140932274</v>
      </c>
      <c r="J303" s="47">
        <f t="shared" si="173"/>
        <v>-6130</v>
      </c>
      <c r="K303" s="47">
        <f t="shared" si="174"/>
        <v>-4942.7766329113056</v>
      </c>
      <c r="L303" s="47">
        <f t="shared" si="175"/>
        <v>-1799.4804087581783</v>
      </c>
      <c r="M303" s="47">
        <f t="shared" si="176"/>
        <v>20197.902724439868</v>
      </c>
      <c r="N303" s="47">
        <f t="shared" si="177"/>
        <v>11251.598086465587</v>
      </c>
      <c r="O303" s="34"/>
      <c r="P303" s="35"/>
      <c r="Q303" s="35"/>
      <c r="R303" s="33"/>
      <c r="S303" s="43"/>
      <c r="T303" s="19"/>
      <c r="U303" s="27">
        <f t="shared" si="178"/>
        <v>20197.902724439868</v>
      </c>
      <c r="V303" s="28">
        <f t="shared" si="178"/>
        <v>11251.598086465587</v>
      </c>
    </row>
    <row r="304" spans="1:22" hidden="1" outlineLevel="1" x14ac:dyDescent="0.25">
      <c r="A304" s="18"/>
      <c r="B304" s="38">
        <f>B303+1</f>
        <v>20</v>
      </c>
      <c r="C304" s="54">
        <f>C303*(1-$F$2)</f>
        <v>108.80640775914671</v>
      </c>
      <c r="D304" s="33">
        <f>C304*VLOOKUP($A$285,Ταρίφες!$A$6:$G$23,$K$6,FALSE)*(1+$F$3)^(B304-1)</f>
        <v>39170.306793292817</v>
      </c>
      <c r="E304" s="33">
        <f>C304*VLOOKUP($A$285,Ταρίφες!$A$6:$G$23,$K$7,FALSE)*(1+$F$3)^(B304-1)</f>
        <v>27201.601939786677</v>
      </c>
      <c r="F304" s="46">
        <f t="shared" si="168"/>
        <v>-2913.6223450555963</v>
      </c>
      <c r="G304" s="47">
        <f t="shared" si="169"/>
        <v>-1165.4489380222385</v>
      </c>
      <c r="H304" s="47">
        <f>-$K$4*(1+$F$4)^(B304-$B$12)</f>
        <v>-4079.0712830778348</v>
      </c>
      <c r="I304" s="46">
        <f>-(4500*(1+$F$4)^(B304-$B$12))</f>
        <v>-6555.6502763750914</v>
      </c>
      <c r="J304" s="47">
        <f t="shared" si="173"/>
        <v>-6130</v>
      </c>
      <c r="K304" s="47">
        <f>-(D304+SUM(F304:J304))*$F$5</f>
        <v>-4764.8936271981347</v>
      </c>
      <c r="L304" s="47">
        <f>-(E304+SUM(F304:J304))*$F$5</f>
        <v>-1653.030365286538</v>
      </c>
      <c r="M304" s="47">
        <f>D304+SUM(F304:I304)+K304</f>
        <v>19691.620323563919</v>
      </c>
      <c r="N304" s="47">
        <f>E304+SUM(F304:I304)+L304</f>
        <v>10834.778731969376</v>
      </c>
      <c r="O304" s="34"/>
      <c r="P304" s="35"/>
      <c r="Q304" s="35"/>
      <c r="R304" s="33"/>
      <c r="S304" s="43"/>
      <c r="T304" s="19"/>
      <c r="U304" s="27">
        <f>M304</f>
        <v>19691.620323563919</v>
      </c>
      <c r="V304" s="28">
        <f>N304</f>
        <v>10834.778731969376</v>
      </c>
    </row>
    <row r="305" spans="15:22" s="40" customFormat="1" hidden="1" outlineLevel="1" x14ac:dyDescent="0.25">
      <c r="O305" s="17"/>
      <c r="P305" s="25"/>
      <c r="Q305" s="25"/>
      <c r="R305" s="22"/>
      <c r="S305" s="52"/>
      <c r="T305" s="44"/>
      <c r="U305" s="74">
        <f>O306</f>
        <v>0</v>
      </c>
      <c r="V305" s="74">
        <f>R306</f>
        <v>0</v>
      </c>
    </row>
  </sheetData>
  <mergeCells count="19">
    <mergeCell ref="B1:K1"/>
    <mergeCell ref="B2:E2"/>
    <mergeCell ref="G2:J2"/>
    <mergeCell ref="B3:E3"/>
    <mergeCell ref="G3:J3"/>
    <mergeCell ref="G8:J8"/>
    <mergeCell ref="W10:X10"/>
    <mergeCell ref="Y10:Z10"/>
    <mergeCell ref="B4:E4"/>
    <mergeCell ref="G4:J4"/>
    <mergeCell ref="S10:T10"/>
    <mergeCell ref="C10:Q10"/>
    <mergeCell ref="B5:E5"/>
    <mergeCell ref="G5:J5"/>
    <mergeCell ref="B6:E6"/>
    <mergeCell ref="G6:J6"/>
    <mergeCell ref="B7:E7"/>
    <mergeCell ref="G7:J7"/>
    <mergeCell ref="B8:E8"/>
  </mergeCells>
  <conditionalFormatting sqref="S12:T28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2:Z12 Y33:Z285">
    <cfRule type="colorScale" priority="1">
      <colorScale>
        <cfvo type="min"/>
        <cfvo type="max"/>
        <color rgb="FFF8696B"/>
        <color rgb="FFFCFCFF"/>
      </colorScale>
    </cfRule>
  </conditionalFormatting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Ταρίφες Εξέλιξη</vt:lpstr>
      <vt:lpstr>Κόστος Κατασκευής</vt:lpstr>
      <vt:lpstr>Παραγωγές</vt:lpstr>
      <vt:lpstr>Ταρίφες</vt:lpstr>
      <vt:lpstr>IRR ΔΣ Ισχύον</vt:lpstr>
      <vt:lpstr>IRR ΜΔΝ Ισχύον</vt:lpstr>
      <vt:lpstr>IRR ΜΔΝ Πρόταση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Giorgos Giatrakos</cp:lastModifiedBy>
  <dcterms:created xsi:type="dcterms:W3CDTF">2014-04-06T18:07:13Z</dcterms:created>
  <dcterms:modified xsi:type="dcterms:W3CDTF">2014-05-19T17:16:49Z</dcterms:modified>
</cp:coreProperties>
</file>